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38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styles.xml" ContentType="application/vnd.openxmlformats-officedocument.spreadsheetml.styles+xml"/>
  <Override PartName="/xl/worksheets/sheet2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2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6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5" yWindow="0" windowWidth="28575" windowHeight="3705" tabRatio="847"/>
  </bookViews>
  <sheets>
    <sheet name="Tartalomjegyzék" sheetId="118" r:id="rId1"/>
    <sheet name="1.mell._Össz_Mérleg2019" sheetId="61" r:id="rId2"/>
    <sheet name="1.1.mell._ÖNK_Mérleg2019" sheetId="64" r:id="rId3"/>
    <sheet name="1.2.mell._HKÖH_Mérleg2019" sheetId="65" r:id="rId4"/>
    <sheet name="1.3.mell._HVÓBKI_Mérleg2019" sheetId="66" r:id="rId5"/>
    <sheet name="1.4.mell._HKK_Mérleg2019" sheetId="67" r:id="rId6"/>
    <sheet name="1.5._mell._MŐSZ_Mérleg2019" sheetId="97" r:id="rId7"/>
    <sheet name="1.6._mell._HVGYKCSSZ_Mérleg2019" sheetId="109" r:id="rId8"/>
    <sheet name="2.a.mell._MMérleg2019" sheetId="68" r:id="rId9"/>
    <sheet name="2.b.mell._FMérleg2019" sheetId="69" r:id="rId10"/>
    <sheet name="3. mell._létszám2019" sheetId="70" r:id="rId11"/>
    <sheet name="4. mell. EUprojektek2019" sheetId="116" r:id="rId12"/>
    <sheet name="5.mell_adósság2019" sheetId="72" r:id="rId13"/>
    <sheet name="6.mell_Többévesköt.2019" sheetId="73" r:id="rId14"/>
    <sheet name="7. mell_KözvetettTám2019" sheetId="74" r:id="rId15"/>
    <sheet name="8.mell_EIfelhterv2019" sheetId="75" r:id="rId16"/>
    <sheet name="9.mell_ÖsszMérleg(telj)2019" sheetId="76" r:id="rId17"/>
    <sheet name="10.mell_támogatások2019" sheetId="77" r:id="rId18"/>
    <sheet name="11.mell_felhKiad2019" sheetId="78" r:id="rId19"/>
    <sheet name="12.mell_céltámogatások2019" sheetId="79" r:id="rId20"/>
    <sheet name="13.mell_ÖNKfeladatok2019" sheetId="84" r:id="rId21"/>
    <sheet name="14.mell_Önk kiegészítés2019" sheetId="85" r:id="rId22"/>
    <sheet name="15.mell 2019K01" sheetId="119" r:id="rId23"/>
    <sheet name="16.mell 2019K02" sheetId="120" r:id="rId24"/>
    <sheet name="17.mell 2019K03" sheetId="121" r:id="rId25"/>
    <sheet name="18.mell 2019K04" sheetId="122" r:id="rId26"/>
    <sheet name="19.mell 2019K12" sheetId="123" r:id="rId27"/>
    <sheet name="20.mell 2019K13" sheetId="124" r:id="rId28"/>
    <sheet name="21.mell Vagyonkim2019" sheetId="125" r:id="rId29"/>
    <sheet name="22.mell Részesedések2019" sheetId="126" r:id="rId30"/>
    <sheet name="23.mell_Adósságáll2019" sheetId="127" r:id="rId31"/>
    <sheet name="24.Hitelek2019" sheetId="128" r:id="rId32"/>
    <sheet name="25.mell_maradvány2019" sheetId="129" r:id="rId33"/>
    <sheet name="26.mell_maradványfeloszt2019" sheetId="130" r:id="rId34"/>
    <sheet name="15.mell_Tartozások2019" sheetId="88" state="hidden" r:id="rId35"/>
    <sheet name="16.mell_Étkezésdíj2019" sheetId="89" state="hidden" r:id="rId36"/>
    <sheet name="1.függVárosüzem2019" sheetId="91" state="hidden" r:id="rId37"/>
    <sheet name="2.függ_adósság2019 (határozat)" sheetId="90" state="hidden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kst" localSheetId="31">#REF!</definedName>
    <definedName name="kst" localSheetId="0">#REF!</definedName>
    <definedName name="kst">#REF!</definedName>
    <definedName name="nev" localSheetId="31">[1]kod!$CD$8:$CD$3150</definedName>
    <definedName name="nev">[2]kod!$CD$8:$CD$3150</definedName>
    <definedName name="_xlnm.Print_Titles" localSheetId="17">'10.mell_támogatások2019'!$6:$7</definedName>
    <definedName name="_xlnm.Print_Titles" localSheetId="20">'13.mell_ÖNKfeladatok2019'!$A:$F,'13.mell_ÖNKfeladatok2019'!$166:$169</definedName>
    <definedName name="_xlnm.Print_Titles" localSheetId="21">'14.mell_Önk kiegészítés2019'!$B:$B</definedName>
    <definedName name="_xlnm.Print_Titles" localSheetId="22">'15.mell 2019K01'!$A$3:$IL$5</definedName>
    <definedName name="_xlnm.Print_Titles" localSheetId="23">'16.mell 2019K02'!$A$3:$IR$5</definedName>
    <definedName name="_xlnm.Print_Area" localSheetId="2">'1.1.mell._ÖNK_Mérleg2019'!$A$1:$I$242</definedName>
    <definedName name="_xlnm.Print_Area" localSheetId="3">'1.2.mell._HKÖH_Mérleg2019'!$A$1:$I$242</definedName>
    <definedName name="_xlnm.Print_Area" localSheetId="4">'1.3.mell._HVÓBKI_Mérleg2019'!$A$1:$I$242</definedName>
    <definedName name="_xlnm.Print_Area" localSheetId="5">'1.4.mell._HKK_Mérleg2019'!$A$1:$I$242</definedName>
    <definedName name="_xlnm.Print_Area" localSheetId="6">'1.5._mell._MŐSZ_Mérleg2019'!$A$1:$I$242</definedName>
    <definedName name="_xlnm.Print_Area" localSheetId="7">'1.6._mell._HVGYKCSSZ_Mérleg2019'!$A$1:$I$242</definedName>
    <definedName name="_xlnm.Print_Area" localSheetId="36">'1.függVárosüzem2019'!$A$1:$F$132</definedName>
    <definedName name="_xlnm.Print_Area" localSheetId="1">'1.mell._Össz_Mérleg2019'!$A$1:$I$242</definedName>
    <definedName name="_xlnm.Print_Area" localSheetId="17">'10.mell_támogatások2019'!$A$1:$G$137</definedName>
    <definedName name="_xlnm.Print_Area" localSheetId="18">'11.mell_felhKiad2019'!$A$1:$J$123</definedName>
    <definedName name="_xlnm.Print_Area" localSheetId="19">'12.mell_céltámogatások2019'!$A$1:$G$41</definedName>
    <definedName name="_xlnm.Print_Area" localSheetId="20">'13.mell_ÖNKfeladatok2019'!$A$1:$AX$321</definedName>
    <definedName name="_xlnm.Print_Area" localSheetId="21">'14.mell_Önk kiegészítés2019'!$A$1:$V$282</definedName>
    <definedName name="_xlnm.Print_Area" localSheetId="22">'15.mell 2019K01'!$A$1:$E$271</definedName>
    <definedName name="_xlnm.Print_Area" localSheetId="23">'16.mell 2019K02'!$A$1:$E$287</definedName>
    <definedName name="_xlnm.Print_Area" localSheetId="35">'16.mell_Étkezésdíj2019'!$A$1:$F$23</definedName>
    <definedName name="_xlnm.Print_Area" localSheetId="24">'17.mell 2019K03'!$A$1:$E$45</definedName>
    <definedName name="_xlnm.Print_Area" localSheetId="25">'18.mell 2019K04'!$A$1:$E$37</definedName>
    <definedName name="_xlnm.Print_Area" localSheetId="8">'2.a.mell._MMérleg2019'!$A$1:$Q$35</definedName>
    <definedName name="_xlnm.Print_Area" localSheetId="9">'2.b.mell._FMérleg2019'!$A$1:$Q$35</definedName>
    <definedName name="_xlnm.Print_Area" localSheetId="37">'2.függ_adósság2019 (határozat)'!$A$1:$F$38</definedName>
    <definedName name="_xlnm.Print_Area" localSheetId="28">'21.mell Vagyonkim2019'!$A$1:$J$95</definedName>
    <definedName name="_xlnm.Print_Area" localSheetId="30">'23.mell_Adósságáll2019'!$A$1:$K$23</definedName>
    <definedName name="_xlnm.Print_Area" localSheetId="32">'25.mell_maradvány2019'!$A$1:$I$24</definedName>
    <definedName name="_xlnm.Print_Area" localSheetId="10">'3. mell._létszám2019'!$A$1:$I$86</definedName>
    <definedName name="_xlnm.Print_Area" localSheetId="11">'4. mell. EUprojektek2019'!$A$1:$U$337</definedName>
    <definedName name="_xlnm.Print_Area" localSheetId="14">'7. mell_KözvetettTám2019'!$A$1:$J$25</definedName>
    <definedName name="_xlnm.Print_Area" localSheetId="15">'8.mell_EIfelhterv2019'!$A$1:$S$30</definedName>
    <definedName name="_xlnm.Print_Area" localSheetId="16">'9.mell_ÖsszMérleg(telj)2019'!$A$1:$H$242</definedName>
    <definedName name="onev" localSheetId="31">[3]kod!$BT$34:$BT$3184</definedName>
    <definedName name="onev">[4]kod!$BT$34:$BT$3184</definedName>
  </definedNames>
  <calcPr calcId="125725"/>
</workbook>
</file>

<file path=xl/calcChain.xml><?xml version="1.0" encoding="utf-8"?>
<calcChain xmlns="http://schemas.openxmlformats.org/spreadsheetml/2006/main">
  <c r="O29" i="78"/>
  <c r="O23"/>
  <c r="O24"/>
  <c r="O25"/>
  <c r="O26"/>
  <c r="G139" i="64" l="1"/>
  <c r="E139"/>
  <c r="D139"/>
  <c r="D147"/>
  <c r="D148"/>
  <c r="O165" i="61"/>
  <c r="Q63" i="130" l="1"/>
  <c r="H22"/>
  <c r="L25" i="74" l="1"/>
  <c r="G16"/>
  <c r="G13"/>
  <c r="H120" i="64" l="1"/>
  <c r="H145"/>
  <c r="U257" i="84" l="1"/>
  <c r="T257"/>
  <c r="Q257"/>
  <c r="P257"/>
  <c r="G19" i="74" l="1"/>
  <c r="H16"/>
  <c r="U162" i="85" l="1"/>
  <c r="U151"/>
  <c r="U92"/>
  <c r="U81"/>
  <c r="AH105"/>
  <c r="AH92"/>
  <c r="AH81"/>
  <c r="AH162"/>
  <c r="AH151"/>
  <c r="U153"/>
  <c r="U83"/>
  <c r="U202"/>
  <c r="U196"/>
  <c r="U175"/>
  <c r="U185"/>
  <c r="U174"/>
  <c r="U164"/>
  <c r="U163"/>
  <c r="U132"/>
  <c r="U115"/>
  <c r="AE202"/>
  <c r="AE185"/>
  <c r="AE162"/>
  <c r="AE153"/>
  <c r="AE132"/>
  <c r="AE115"/>
  <c r="AE83"/>
  <c r="AE92"/>
  <c r="H50" i="130" l="1"/>
  <c r="N60"/>
  <c r="O64" l="1"/>
  <c r="H49"/>
  <c r="Q64" l="1"/>
  <c r="Q65"/>
  <c r="H20"/>
  <c r="H23" l="1"/>
  <c r="N61" s="1"/>
  <c r="N62" s="1"/>
  <c r="H21"/>
  <c r="F12"/>
  <c r="P15" i="127"/>
  <c r="P34"/>
  <c r="Q15" l="1"/>
  <c r="P27"/>
  <c r="Q27"/>
  <c r="V15"/>
  <c r="S15"/>
  <c r="AB34"/>
  <c r="AB15"/>
  <c r="AE15"/>
  <c r="BF15" l="1"/>
  <c r="O75" i="78" l="1"/>
  <c r="J75"/>
  <c r="H75"/>
  <c r="O74"/>
  <c r="J74"/>
  <c r="H74"/>
  <c r="G72"/>
  <c r="H72" s="1"/>
  <c r="O73"/>
  <c r="J73"/>
  <c r="H73"/>
  <c r="G67"/>
  <c r="O76"/>
  <c r="J76"/>
  <c r="H76"/>
  <c r="O71"/>
  <c r="J71"/>
  <c r="H71"/>
  <c r="B15"/>
  <c r="G22"/>
  <c r="O22" s="1"/>
  <c r="F22"/>
  <c r="J24"/>
  <c r="H24"/>
  <c r="G9"/>
  <c r="J25"/>
  <c r="H25"/>
  <c r="J23"/>
  <c r="H23"/>
  <c r="J26"/>
  <c r="H26"/>
  <c r="O21"/>
  <c r="J21"/>
  <c r="H21"/>
  <c r="O72" l="1"/>
  <c r="J72"/>
  <c r="H22"/>
  <c r="J22"/>
  <c r="I97" l="1"/>
  <c r="G97"/>
  <c r="F97"/>
  <c r="E97"/>
  <c r="D97"/>
  <c r="B97"/>
  <c r="O96"/>
  <c r="J96"/>
  <c r="H96"/>
  <c r="O95"/>
  <c r="J95"/>
  <c r="H95"/>
  <c r="O94"/>
  <c r="J94"/>
  <c r="H94"/>
  <c r="J61"/>
  <c r="I62"/>
  <c r="G62"/>
  <c r="F62"/>
  <c r="E62"/>
  <c r="D62"/>
  <c r="B62"/>
  <c r="O53"/>
  <c r="J53"/>
  <c r="H53"/>
  <c r="O54"/>
  <c r="J54"/>
  <c r="H54"/>
  <c r="O55"/>
  <c r="J55"/>
  <c r="H55"/>
  <c r="O56"/>
  <c r="J56"/>
  <c r="H56"/>
  <c r="O57"/>
  <c r="J57"/>
  <c r="H57"/>
  <c r="O58"/>
  <c r="J58"/>
  <c r="H58"/>
  <c r="O59"/>
  <c r="J59"/>
  <c r="H59"/>
  <c r="O60"/>
  <c r="J60"/>
  <c r="H60"/>
  <c r="O61"/>
  <c r="H61"/>
  <c r="L40" i="73"/>
  <c r="H40"/>
  <c r="J97" i="78" l="1"/>
  <c r="J62"/>
  <c r="G43" i="73" l="1"/>
  <c r="X171" i="84"/>
  <c r="Y171"/>
  <c r="X198"/>
  <c r="Y198"/>
  <c r="X177"/>
  <c r="Y177"/>
  <c r="Y237"/>
  <c r="X191"/>
  <c r="Y191"/>
  <c r="AR198"/>
  <c r="AS198" l="1"/>
  <c r="AS171"/>
  <c r="AR171"/>
  <c r="P200" i="116"/>
  <c r="O200"/>
  <c r="R198"/>
  <c r="AF323" s="1"/>
  <c r="AR233" i="84"/>
  <c r="AS233"/>
  <c r="AN198"/>
  <c r="AO198"/>
  <c r="AO171"/>
  <c r="AN171"/>
  <c r="AN176"/>
  <c r="AO176"/>
  <c r="AF171"/>
  <c r="AF180"/>
  <c r="AG182" l="1"/>
  <c r="AF182"/>
  <c r="AG171"/>
  <c r="U171"/>
  <c r="T171"/>
  <c r="P170"/>
  <c r="P171"/>
  <c r="Q171"/>
  <c r="X15"/>
  <c r="X9"/>
  <c r="AN14" l="1"/>
  <c r="AN15" l="1"/>
  <c r="AO15"/>
  <c r="Y36"/>
  <c r="X36"/>
  <c r="Y16"/>
  <c r="X16"/>
  <c r="U12"/>
  <c r="G80" i="125" l="1"/>
  <c r="G78"/>
  <c r="T9" i="84" l="1"/>
  <c r="T36"/>
  <c r="T12" l="1"/>
  <c r="U36" l="1"/>
  <c r="AK26"/>
  <c r="AJ26"/>
  <c r="X255" l="1"/>
  <c r="Y268"/>
  <c r="X268"/>
  <c r="U255"/>
  <c r="T255"/>
  <c r="P255"/>
  <c r="Q272"/>
  <c r="Q264"/>
  <c r="Q255"/>
  <c r="Q260" s="1"/>
  <c r="X93" l="1"/>
  <c r="Y98"/>
  <c r="X277"/>
  <c r="Y276" l="1"/>
  <c r="X276"/>
  <c r="T275"/>
  <c r="P275"/>
  <c r="X115"/>
  <c r="X113"/>
  <c r="Y114"/>
  <c r="X114"/>
  <c r="X291"/>
  <c r="Y290"/>
  <c r="Y293" s="1"/>
  <c r="Y298" s="1"/>
  <c r="X290"/>
  <c r="T291"/>
  <c r="U290"/>
  <c r="U293" s="1"/>
  <c r="U298" s="1"/>
  <c r="T290"/>
  <c r="P291"/>
  <c r="Q290"/>
  <c r="P290"/>
  <c r="X310"/>
  <c r="P310"/>
  <c r="Q157"/>
  <c r="Q156"/>
  <c r="Q154"/>
  <c r="Q152"/>
  <c r="Q145"/>
  <c r="Q144"/>
  <c r="Q142"/>
  <c r="Q139"/>
  <c r="Q135"/>
  <c r="Q133"/>
  <c r="Q131"/>
  <c r="Q136" s="1"/>
  <c r="Q124"/>
  <c r="Q123"/>
  <c r="Q121"/>
  <c r="Q119"/>
  <c r="Q110"/>
  <c r="Q102"/>
  <c r="Q98"/>
  <c r="Q90"/>
  <c r="Q88"/>
  <c r="Q81"/>
  <c r="U156"/>
  <c r="U154"/>
  <c r="U152"/>
  <c r="U157" s="1"/>
  <c r="U144"/>
  <c r="U142"/>
  <c r="U139"/>
  <c r="U145" s="1"/>
  <c r="U135"/>
  <c r="U133"/>
  <c r="U131"/>
  <c r="U136" s="1"/>
  <c r="U123"/>
  <c r="U121"/>
  <c r="U119"/>
  <c r="U124" s="1"/>
  <c r="U110"/>
  <c r="U102"/>
  <c r="U98"/>
  <c r="U111" s="1"/>
  <c r="U90"/>
  <c r="U88"/>
  <c r="U81"/>
  <c r="U91" s="1"/>
  <c r="U159" s="1"/>
  <c r="Y156"/>
  <c r="Y154"/>
  <c r="Y152"/>
  <c r="Y157" s="1"/>
  <c r="Y145"/>
  <c r="Y144"/>
  <c r="Y142"/>
  <c r="Y139"/>
  <c r="Y135"/>
  <c r="Y133"/>
  <c r="Y131"/>
  <c r="Y136" s="1"/>
  <c r="Y123"/>
  <c r="Y121"/>
  <c r="Y119"/>
  <c r="Y124" s="1"/>
  <c r="Y110"/>
  <c r="Y102"/>
  <c r="Y111" s="1"/>
  <c r="Y90"/>
  <c r="Y88"/>
  <c r="Y81"/>
  <c r="Y91" s="1"/>
  <c r="AC157"/>
  <c r="AC156"/>
  <c r="AC154"/>
  <c r="AC152"/>
  <c r="AC145"/>
  <c r="AC144"/>
  <c r="AC142"/>
  <c r="AC139"/>
  <c r="AC135"/>
  <c r="AC133"/>
  <c r="AC131"/>
  <c r="AC136" s="1"/>
  <c r="AC124"/>
  <c r="AC123"/>
  <c r="AC121"/>
  <c r="AC119"/>
  <c r="AC111"/>
  <c r="AC110"/>
  <c r="AC102"/>
  <c r="AC98"/>
  <c r="AC90"/>
  <c r="AC88"/>
  <c r="AC81"/>
  <c r="AC91" s="1"/>
  <c r="AK156"/>
  <c r="AK154"/>
  <c r="AK152"/>
  <c r="AK157" s="1"/>
  <c r="AK144"/>
  <c r="AK142"/>
  <c r="AK139"/>
  <c r="AK145" s="1"/>
  <c r="AK135"/>
  <c r="AK133"/>
  <c r="AK131"/>
  <c r="AK136" s="1"/>
  <c r="AK123"/>
  <c r="AK121"/>
  <c r="AK119"/>
  <c r="AK124" s="1"/>
  <c r="AK110"/>
  <c r="AK102"/>
  <c r="AK98"/>
  <c r="AK111" s="1"/>
  <c r="AK90"/>
  <c r="AK88"/>
  <c r="AK81"/>
  <c r="AK91" s="1"/>
  <c r="AK159" s="1"/>
  <c r="AO157"/>
  <c r="AO156"/>
  <c r="AO154"/>
  <c r="AO152"/>
  <c r="AO145"/>
  <c r="AO144"/>
  <c r="AO142"/>
  <c r="AO139"/>
  <c r="AO136"/>
  <c r="AO135"/>
  <c r="AO133"/>
  <c r="AO131"/>
  <c r="AO124"/>
  <c r="AO123"/>
  <c r="AO121"/>
  <c r="AO119"/>
  <c r="AO111"/>
  <c r="AO110"/>
  <c r="AO102"/>
  <c r="AO98"/>
  <c r="AO90"/>
  <c r="AO88"/>
  <c r="AO81"/>
  <c r="AO91" s="1"/>
  <c r="AO159" s="1"/>
  <c r="AS156"/>
  <c r="AS154"/>
  <c r="AS152"/>
  <c r="AS157" s="1"/>
  <c r="AS144"/>
  <c r="AS142"/>
  <c r="AS139"/>
  <c r="AS145" s="1"/>
  <c r="AS135"/>
  <c r="AS133"/>
  <c r="AS131"/>
  <c r="AS136" s="1"/>
  <c r="AS123"/>
  <c r="AS121"/>
  <c r="AS119"/>
  <c r="AS124" s="1"/>
  <c r="AS110"/>
  <c r="AS102"/>
  <c r="AS98"/>
  <c r="AS111" s="1"/>
  <c r="AS90"/>
  <c r="AS88"/>
  <c r="AS81"/>
  <c r="AW318"/>
  <c r="AW316"/>
  <c r="AW314"/>
  <c r="AW319" s="1"/>
  <c r="AW307"/>
  <c r="AW306"/>
  <c r="AW304"/>
  <c r="AW301"/>
  <c r="AW297"/>
  <c r="AW295"/>
  <c r="AW293"/>
  <c r="AW298" s="1"/>
  <c r="AW286"/>
  <c r="AW285"/>
  <c r="AW283"/>
  <c r="AW281"/>
  <c r="AW272"/>
  <c r="AW264"/>
  <c r="AW260"/>
  <c r="AW273" s="1"/>
  <c r="AW252"/>
  <c r="AW250"/>
  <c r="AW243"/>
  <c r="AW253" s="1"/>
  <c r="AW321" s="1"/>
  <c r="AS318"/>
  <c r="AS316"/>
  <c r="AS314"/>
  <c r="AS319" s="1"/>
  <c r="AS306"/>
  <c r="AS304"/>
  <c r="AS301"/>
  <c r="AS307" s="1"/>
  <c r="AS297"/>
  <c r="AS295"/>
  <c r="AS293"/>
  <c r="AS298" s="1"/>
  <c r="AS285"/>
  <c r="AS283"/>
  <c r="AS281"/>
  <c r="AS286" s="1"/>
  <c r="AS272"/>
  <c r="AS264"/>
  <c r="AS260"/>
  <c r="AS273" s="1"/>
  <c r="AS252"/>
  <c r="AS250"/>
  <c r="AS243"/>
  <c r="AS253" s="1"/>
  <c r="AO318"/>
  <c r="AO316"/>
  <c r="AO314"/>
  <c r="AO319" s="1"/>
  <c r="AO306"/>
  <c r="AO304"/>
  <c r="AO301"/>
  <c r="AO297"/>
  <c r="AO295"/>
  <c r="AO293"/>
  <c r="AO298" s="1"/>
  <c r="AO285"/>
  <c r="AO283"/>
  <c r="AO281"/>
  <c r="AO286" s="1"/>
  <c r="AO272"/>
  <c r="AO264"/>
  <c r="AO260"/>
  <c r="AO252"/>
  <c r="AO250"/>
  <c r="AO243"/>
  <c r="AG318"/>
  <c r="AG316"/>
  <c r="AG314"/>
  <c r="AG319" s="1"/>
  <c r="AG306"/>
  <c r="AG304"/>
  <c r="AG307" s="1"/>
  <c r="AG301"/>
  <c r="AG297"/>
  <c r="AG295"/>
  <c r="AG293"/>
  <c r="AG298" s="1"/>
  <c r="AG285"/>
  <c r="AG283"/>
  <c r="AG281"/>
  <c r="AG286" s="1"/>
  <c r="AG272"/>
  <c r="AG264"/>
  <c r="AG260"/>
  <c r="AG273" s="1"/>
  <c r="AG252"/>
  <c r="AG250"/>
  <c r="AG243"/>
  <c r="AC319"/>
  <c r="AC318"/>
  <c r="AC316"/>
  <c r="AC314"/>
  <c r="AC306"/>
  <c r="AC304"/>
  <c r="AC301"/>
  <c r="AC307" s="1"/>
  <c r="AC298"/>
  <c r="AC297"/>
  <c r="AC295"/>
  <c r="AC293"/>
  <c r="AC285"/>
  <c r="AC283"/>
  <c r="AC281"/>
  <c r="AC286" s="1"/>
  <c r="AC273"/>
  <c r="AC272"/>
  <c r="AC264"/>
  <c r="AC260"/>
  <c r="AC252"/>
  <c r="AC250"/>
  <c r="AC243"/>
  <c r="AC253" s="1"/>
  <c r="AC321" s="1"/>
  <c r="Y318"/>
  <c r="Y316"/>
  <c r="Y314"/>
  <c r="Y319" s="1"/>
  <c r="Y306"/>
  <c r="Y304"/>
  <c r="Y307" s="1"/>
  <c r="Y301"/>
  <c r="Y297"/>
  <c r="Y295"/>
  <c r="Y285"/>
  <c r="Y283"/>
  <c r="Y281"/>
  <c r="Y286" s="1"/>
  <c r="Y272"/>
  <c r="Y264"/>
  <c r="Y260"/>
  <c r="Y252"/>
  <c r="Y250"/>
  <c r="Y243"/>
  <c r="U318"/>
  <c r="U316"/>
  <c r="U314"/>
  <c r="U319" s="1"/>
  <c r="U306"/>
  <c r="U304"/>
  <c r="U301"/>
  <c r="U307" s="1"/>
  <c r="U297"/>
  <c r="U295"/>
  <c r="U285"/>
  <c r="U283"/>
  <c r="U281"/>
  <c r="U286" s="1"/>
  <c r="U272"/>
  <c r="U264"/>
  <c r="U260"/>
  <c r="U252"/>
  <c r="U250"/>
  <c r="U243"/>
  <c r="U253" s="1"/>
  <c r="D22" i="125"/>
  <c r="Y253" i="84" l="1"/>
  <c r="AO253"/>
  <c r="AG253"/>
  <c r="AG321" s="1"/>
  <c r="AS91"/>
  <c r="AS159" s="1"/>
  <c r="Q91"/>
  <c r="AO273"/>
  <c r="Y273"/>
  <c r="U273"/>
  <c r="U321" s="1"/>
  <c r="Q111"/>
  <c r="AC159"/>
  <c r="Y159"/>
  <c r="AO307"/>
  <c r="AS321"/>
  <c r="D13" i="125"/>
  <c r="Y321" i="84" l="1"/>
  <c r="AO321"/>
  <c r="Q159"/>
  <c r="D16" i="125"/>
  <c r="H36" i="123"/>
  <c r="D10" i="129"/>
  <c r="R149" i="116" l="1"/>
  <c r="B252" l="1"/>
  <c r="B235" s="1"/>
  <c r="B241" s="1"/>
  <c r="P96" l="1"/>
  <c r="E246"/>
  <c r="P221"/>
  <c r="I51" i="78"/>
  <c r="G51"/>
  <c r="F51"/>
  <c r="E51"/>
  <c r="D51"/>
  <c r="B51"/>
  <c r="O49"/>
  <c r="J49"/>
  <c r="H49"/>
  <c r="I34"/>
  <c r="D34"/>
  <c r="B34"/>
  <c r="I43"/>
  <c r="G43"/>
  <c r="F43"/>
  <c r="B43"/>
  <c r="O48"/>
  <c r="J48"/>
  <c r="H48"/>
  <c r="O47"/>
  <c r="J47"/>
  <c r="H47"/>
  <c r="O46"/>
  <c r="J46"/>
  <c r="H46"/>
  <c r="O45"/>
  <c r="J45"/>
  <c r="H45"/>
  <c r="F32"/>
  <c r="F34" s="1"/>
  <c r="G32"/>
  <c r="O32" s="1"/>
  <c r="D43"/>
  <c r="E32"/>
  <c r="E34" s="1"/>
  <c r="H41"/>
  <c r="O41"/>
  <c r="E41"/>
  <c r="E43" s="1"/>
  <c r="G34" l="1"/>
  <c r="J32"/>
  <c r="H32"/>
  <c r="J41"/>
  <c r="G9" i="72" l="1"/>
  <c r="G8"/>
  <c r="E18" i="79" l="1"/>
  <c r="E27"/>
  <c r="E26"/>
  <c r="E25"/>
  <c r="I40"/>
  <c r="I36"/>
  <c r="I32"/>
  <c r="I14"/>
  <c r="I137" i="77"/>
  <c r="I134"/>
  <c r="I99"/>
  <c r="I82"/>
  <c r="I66"/>
  <c r="I31"/>
  <c r="I25"/>
  <c r="G29" i="79"/>
  <c r="F31"/>
  <c r="G31" s="1"/>
  <c r="F19"/>
  <c r="G30"/>
  <c r="G10"/>
  <c r="G28" l="1"/>
  <c r="F8"/>
  <c r="G12"/>
  <c r="G9"/>
  <c r="D9"/>
  <c r="G11"/>
  <c r="E134" i="77"/>
  <c r="E106"/>
  <c r="E132" s="1"/>
  <c r="E135" s="1"/>
  <c r="E101"/>
  <c r="E99"/>
  <c r="J99" s="1"/>
  <c r="E77"/>
  <c r="E71"/>
  <c r="E67" s="1"/>
  <c r="E63"/>
  <c r="E60"/>
  <c r="E59" s="1"/>
  <c r="E58" s="1"/>
  <c r="E54"/>
  <c r="E51"/>
  <c r="E38"/>
  <c r="E35"/>
  <c r="E31"/>
  <c r="J31" s="1"/>
  <c r="E27"/>
  <c r="E26"/>
  <c r="E17"/>
  <c r="E10"/>
  <c r="E9" s="1"/>
  <c r="E25" s="1"/>
  <c r="J25" s="1"/>
  <c r="F71"/>
  <c r="E34" l="1"/>
  <c r="E66" s="1"/>
  <c r="J66" s="1"/>
  <c r="E82"/>
  <c r="J82" s="1"/>
  <c r="J134"/>
  <c r="F60"/>
  <c r="F35"/>
  <c r="F27"/>
  <c r="F26"/>
  <c r="F10"/>
  <c r="E84" l="1"/>
  <c r="E137" s="1"/>
  <c r="J137" s="1"/>
  <c r="E79" i="67"/>
  <c r="D122" i="64"/>
  <c r="D164"/>
  <c r="D122" i="66"/>
  <c r="D114"/>
  <c r="D158" i="64"/>
  <c r="D113"/>
  <c r="E76"/>
  <c r="D76"/>
  <c r="D114"/>
  <c r="D118" i="67"/>
  <c r="D161" i="64"/>
  <c r="I129" i="119"/>
  <c r="D77" i="61"/>
  <c r="E77"/>
  <c r="E158" i="64"/>
  <c r="E153"/>
  <c r="E121"/>
  <c r="E120"/>
  <c r="E43"/>
  <c r="E35"/>
  <c r="E187" i="120"/>
  <c r="C26" i="119" l="1"/>
  <c r="C23"/>
  <c r="C24" s="1"/>
  <c r="E87"/>
  <c r="D79"/>
  <c r="C79"/>
  <c r="D239" i="64"/>
  <c r="C11" i="70"/>
  <c r="B9" l="1"/>
  <c r="C9"/>
  <c r="H9"/>
  <c r="E9"/>
  <c r="D9"/>
  <c r="D240" i="64"/>
  <c r="E240"/>
  <c r="E239"/>
  <c r="E241"/>
  <c r="N9" i="129"/>
  <c r="N10"/>
  <c r="O9"/>
  <c r="D57" i="64"/>
  <c r="D134" l="1"/>
  <c r="E131" l="1"/>
  <c r="E79" i="65" l="1"/>
  <c r="D79"/>
  <c r="E34"/>
  <c r="E158"/>
  <c r="D158"/>
  <c r="E119"/>
  <c r="D119"/>
  <c r="D239" l="1"/>
  <c r="E79" i="66" l="1"/>
  <c r="D79"/>
  <c r="E155"/>
  <c r="D155"/>
  <c r="E239" i="109"/>
  <c r="E239" i="66"/>
  <c r="D79" i="67"/>
  <c r="E120"/>
  <c r="E112"/>
  <c r="E79" i="97"/>
  <c r="D79"/>
  <c r="D120"/>
  <c r="E79" i="109"/>
  <c r="D79"/>
  <c r="G36" i="122" l="1"/>
  <c r="G35"/>
  <c r="G34"/>
  <c r="G27"/>
  <c r="G24"/>
  <c r="G23"/>
  <c r="G16"/>
  <c r="G44" i="121"/>
  <c r="G43"/>
  <c r="G42"/>
  <c r="G33"/>
  <c r="G30"/>
  <c r="G29"/>
  <c r="G28"/>
  <c r="G25"/>
  <c r="G24"/>
  <c r="G274" i="120"/>
  <c r="G263"/>
  <c r="G262"/>
  <c r="G261"/>
  <c r="G237"/>
  <c r="G236"/>
  <c r="G235"/>
  <c r="G233"/>
  <c r="G231"/>
  <c r="G226"/>
  <c r="G220"/>
  <c r="G212"/>
  <c r="G108"/>
  <c r="G98"/>
  <c r="G62"/>
  <c r="G51"/>
  <c r="G50"/>
  <c r="G26"/>
  <c r="G15"/>
  <c r="G14"/>
  <c r="G11"/>
  <c r="G258" i="119"/>
  <c r="G257"/>
  <c r="G245"/>
  <c r="G243"/>
  <c r="G232"/>
  <c r="G221"/>
  <c r="G210"/>
  <c r="G209"/>
  <c r="G206"/>
  <c r="G205"/>
  <c r="G201"/>
  <c r="G200"/>
  <c r="G181"/>
  <c r="G180"/>
  <c r="G179"/>
  <c r="G165"/>
  <c r="G143"/>
  <c r="G132"/>
  <c r="G131"/>
  <c r="G125"/>
  <c r="G98"/>
  <c r="G88"/>
  <c r="G79"/>
  <c r="G78"/>
  <c r="G67"/>
  <c r="G66"/>
  <c r="U82" i="85"/>
  <c r="AC92"/>
  <c r="AC83"/>
  <c r="AH175" l="1"/>
  <c r="AC162"/>
  <c r="AC153"/>
  <c r="U281"/>
  <c r="R281"/>
  <c r="Q281"/>
  <c r="P281"/>
  <c r="N281"/>
  <c r="M281"/>
  <c r="L281"/>
  <c r="K281"/>
  <c r="H281"/>
  <c r="G281"/>
  <c r="E281"/>
  <c r="D281"/>
  <c r="C281"/>
  <c r="AX319" i="84"/>
  <c r="AX318"/>
  <c r="AX317"/>
  <c r="AX316"/>
  <c r="AX315"/>
  <c r="AX314"/>
  <c r="AX313"/>
  <c r="AX312"/>
  <c r="AX311"/>
  <c r="AX310"/>
  <c r="AX309"/>
  <c r="AX307"/>
  <c r="AX306"/>
  <c r="AX305"/>
  <c r="AX304"/>
  <c r="AX303"/>
  <c r="AX302"/>
  <c r="AX301"/>
  <c r="AX300"/>
  <c r="AX298"/>
  <c r="AX297"/>
  <c r="AX296"/>
  <c r="AX295"/>
  <c r="AX294"/>
  <c r="AX293"/>
  <c r="AX292"/>
  <c r="AX291"/>
  <c r="AX290"/>
  <c r="AX289"/>
  <c r="AX288"/>
  <c r="AX286"/>
  <c r="AX285"/>
  <c r="AX284"/>
  <c r="AX283"/>
  <c r="AX282"/>
  <c r="AX281"/>
  <c r="AX280"/>
  <c r="AX279"/>
  <c r="AX278"/>
  <c r="AX277"/>
  <c r="AX276"/>
  <c r="AX275"/>
  <c r="AX273"/>
  <c r="AX272"/>
  <c r="AX271"/>
  <c r="AX270"/>
  <c r="AX269"/>
  <c r="AX268"/>
  <c r="AX267"/>
  <c r="AX266"/>
  <c r="AX265"/>
  <c r="AX264"/>
  <c r="AX263"/>
  <c r="AX262"/>
  <c r="AX261"/>
  <c r="AX260"/>
  <c r="AX259"/>
  <c r="AX258"/>
  <c r="AX257"/>
  <c r="AX256"/>
  <c r="AX255"/>
  <c r="AX252"/>
  <c r="AX251"/>
  <c r="AX250"/>
  <c r="AX249"/>
  <c r="AX248"/>
  <c r="AX247"/>
  <c r="AX246"/>
  <c r="AX245"/>
  <c r="AX244"/>
  <c r="AX242"/>
  <c r="AX241"/>
  <c r="AX240"/>
  <c r="AX239"/>
  <c r="AX238"/>
  <c r="AX237"/>
  <c r="AX236"/>
  <c r="AX235"/>
  <c r="AX234"/>
  <c r="AX233"/>
  <c r="AX232"/>
  <c r="AX231"/>
  <c r="AX230"/>
  <c r="AX229"/>
  <c r="AX228"/>
  <c r="AX227"/>
  <c r="AX226"/>
  <c r="AX225"/>
  <c r="AX224"/>
  <c r="AX223"/>
  <c r="AX222"/>
  <c r="AX221"/>
  <c r="AX220"/>
  <c r="AX219"/>
  <c r="AX218"/>
  <c r="AX217"/>
  <c r="AX216"/>
  <c r="AX215"/>
  <c r="AX214"/>
  <c r="AX213"/>
  <c r="AX212"/>
  <c r="AX211"/>
  <c r="AX210"/>
  <c r="AX209"/>
  <c r="AX208"/>
  <c r="AX207"/>
  <c r="AX206"/>
  <c r="AX205"/>
  <c r="AX204"/>
  <c r="AX203"/>
  <c r="AX202"/>
  <c r="AX201"/>
  <c r="AX200"/>
  <c r="AX199"/>
  <c r="AX198"/>
  <c r="AX197"/>
  <c r="AX196"/>
  <c r="AX195"/>
  <c r="AX194"/>
  <c r="AX193"/>
  <c r="AX192"/>
  <c r="AX191"/>
  <c r="AX190"/>
  <c r="AX189"/>
  <c r="AX188"/>
  <c r="AX187"/>
  <c r="AX186"/>
  <c r="AX185"/>
  <c r="AX184"/>
  <c r="AX183"/>
  <c r="AX182"/>
  <c r="AX181"/>
  <c r="AX180"/>
  <c r="AX179"/>
  <c r="AX178"/>
  <c r="AX177"/>
  <c r="AX176"/>
  <c r="AX175"/>
  <c r="AX174"/>
  <c r="AX173"/>
  <c r="AX172"/>
  <c r="AX171"/>
  <c r="AX170"/>
  <c r="AT318"/>
  <c r="AT317"/>
  <c r="AT316"/>
  <c r="AT315"/>
  <c r="AT313"/>
  <c r="AT312"/>
  <c r="AT311"/>
  <c r="AT310"/>
  <c r="AT309"/>
  <c r="AT307"/>
  <c r="AT306"/>
  <c r="AT305"/>
  <c r="AT304"/>
  <c r="AT303"/>
  <c r="AT302"/>
  <c r="AT301"/>
  <c r="AT300"/>
  <c r="AT298"/>
  <c r="AT297"/>
  <c r="AT296"/>
  <c r="AT295"/>
  <c r="AT294"/>
  <c r="AT293"/>
  <c r="AT292"/>
  <c r="AT291"/>
  <c r="AT290"/>
  <c r="AT289"/>
  <c r="AT288"/>
  <c r="AT286"/>
  <c r="AT285"/>
  <c r="AT284"/>
  <c r="AT283"/>
  <c r="AT282"/>
  <c r="AT281"/>
  <c r="AT280"/>
  <c r="AT279"/>
  <c r="AT278"/>
  <c r="AT277"/>
  <c r="AT276"/>
  <c r="AT275"/>
  <c r="AT273"/>
  <c r="AT272"/>
  <c r="AT271"/>
  <c r="AT270"/>
  <c r="AT269"/>
  <c r="AT268"/>
  <c r="AT267"/>
  <c r="AT266"/>
  <c r="AT265"/>
  <c r="AT264"/>
  <c r="AT263"/>
  <c r="AT262"/>
  <c r="AT261"/>
  <c r="AT260"/>
  <c r="AT259"/>
  <c r="AT258"/>
  <c r="AT257"/>
  <c r="AT256"/>
  <c r="AT255"/>
  <c r="AT252"/>
  <c r="AT251"/>
  <c r="AT250"/>
  <c r="AT249"/>
  <c r="AT248"/>
  <c r="AT247"/>
  <c r="AT246"/>
  <c r="AT245"/>
  <c r="AT244"/>
  <c r="AT242"/>
  <c r="AT241"/>
  <c r="AT240"/>
  <c r="AT239"/>
  <c r="AT238"/>
  <c r="AT237"/>
  <c r="AT236"/>
  <c r="AT235"/>
  <c r="AT234"/>
  <c r="AT233"/>
  <c r="AT232"/>
  <c r="AT231"/>
  <c r="AT230"/>
  <c r="AT229"/>
  <c r="AT228"/>
  <c r="AT227"/>
  <c r="AT226"/>
  <c r="AT225"/>
  <c r="AT224"/>
  <c r="AT223"/>
  <c r="AT222"/>
  <c r="AT221"/>
  <c r="AT220"/>
  <c r="AT219"/>
  <c r="AT218"/>
  <c r="AT217"/>
  <c r="AT216"/>
  <c r="AT215"/>
  <c r="AT214"/>
  <c r="AT213"/>
  <c r="AT212"/>
  <c r="AT211"/>
  <c r="AT210"/>
  <c r="AT209"/>
  <c r="AT208"/>
  <c r="AT207"/>
  <c r="AT206"/>
  <c r="AT205"/>
  <c r="AT204"/>
  <c r="AT203"/>
  <c r="AT202"/>
  <c r="AT201"/>
  <c r="AT200"/>
  <c r="AT199"/>
  <c r="AT198"/>
  <c r="AT197"/>
  <c r="AT196"/>
  <c r="AT195"/>
  <c r="AT194"/>
  <c r="AT193"/>
  <c r="AT192"/>
  <c r="AT191"/>
  <c r="AT190"/>
  <c r="AT189"/>
  <c r="AT188"/>
  <c r="AT187"/>
  <c r="AT186"/>
  <c r="AT185"/>
  <c r="AT184"/>
  <c r="AT183"/>
  <c r="AT182"/>
  <c r="AT181"/>
  <c r="AT180"/>
  <c r="AT179"/>
  <c r="AT178"/>
  <c r="AT177"/>
  <c r="AT176"/>
  <c r="AT175"/>
  <c r="AT174"/>
  <c r="AT173"/>
  <c r="AT172"/>
  <c r="AT171"/>
  <c r="AT170"/>
  <c r="AT157"/>
  <c r="AT156"/>
  <c r="AT155"/>
  <c r="AT154"/>
  <c r="AT153"/>
  <c r="AT152"/>
  <c r="AT151"/>
  <c r="AT150"/>
  <c r="AT149"/>
  <c r="AT148"/>
  <c r="AT147"/>
  <c r="AT145"/>
  <c r="AT144"/>
  <c r="AT143"/>
  <c r="AT142"/>
  <c r="AT141"/>
  <c r="AT140"/>
  <c r="AT139"/>
  <c r="AT138"/>
  <c r="AT136"/>
  <c r="AT135"/>
  <c r="AT134"/>
  <c r="AT133"/>
  <c r="AT132"/>
  <c r="AT131"/>
  <c r="AT130"/>
  <c r="AT129"/>
  <c r="AT128"/>
  <c r="AT127"/>
  <c r="AT126"/>
  <c r="AT124"/>
  <c r="AT123"/>
  <c r="AT122"/>
  <c r="AT121"/>
  <c r="AT120"/>
  <c r="AT119"/>
  <c r="AT118"/>
  <c r="AT117"/>
  <c r="AT116"/>
  <c r="AT115"/>
  <c r="AT114"/>
  <c r="AT113"/>
  <c r="AT111"/>
  <c r="AT110"/>
  <c r="AT109"/>
  <c r="AT108"/>
  <c r="AT107"/>
  <c r="AT106"/>
  <c r="AT105"/>
  <c r="AT104"/>
  <c r="AT103"/>
  <c r="AT102"/>
  <c r="AT101"/>
  <c r="AT100"/>
  <c r="AT99"/>
  <c r="AT98"/>
  <c r="AT97"/>
  <c r="AT96"/>
  <c r="AT95"/>
  <c r="AT94"/>
  <c r="AT93"/>
  <c r="AT90"/>
  <c r="AT89"/>
  <c r="AT87"/>
  <c r="AT86"/>
  <c r="AT85"/>
  <c r="AT84"/>
  <c r="AT83"/>
  <c r="AT82"/>
  <c r="AT81"/>
  <c r="AT80"/>
  <c r="AT79"/>
  <c r="AT78"/>
  <c r="AT77"/>
  <c r="AT76"/>
  <c r="AT75"/>
  <c r="AT74"/>
  <c r="AT73"/>
  <c r="AT72"/>
  <c r="AT71"/>
  <c r="AT70"/>
  <c r="AT69"/>
  <c r="AT68"/>
  <c r="AT67"/>
  <c r="AT66"/>
  <c r="AT65"/>
  <c r="AT64"/>
  <c r="AT63"/>
  <c r="AT62"/>
  <c r="AT61"/>
  <c r="AT60"/>
  <c r="AT59"/>
  <c r="AT58"/>
  <c r="AT57"/>
  <c r="AT56"/>
  <c r="AT55"/>
  <c r="AT54"/>
  <c r="AT53"/>
  <c r="AT52"/>
  <c r="AT51"/>
  <c r="AT50"/>
  <c r="AT49"/>
  <c r="AT48"/>
  <c r="AT47"/>
  <c r="AT46"/>
  <c r="AT45"/>
  <c r="AT44"/>
  <c r="AT43"/>
  <c r="AT42"/>
  <c r="AT41"/>
  <c r="AT40"/>
  <c r="AT39"/>
  <c r="AT38"/>
  <c r="AT37"/>
  <c r="AT36"/>
  <c r="AT35"/>
  <c r="AT34"/>
  <c r="AT33"/>
  <c r="AT32"/>
  <c r="AT31"/>
  <c r="AT30"/>
  <c r="AT29"/>
  <c r="AT28"/>
  <c r="AT27"/>
  <c r="AT26"/>
  <c r="AT25"/>
  <c r="AT24"/>
  <c r="AT23"/>
  <c r="AT22"/>
  <c r="AT21"/>
  <c r="AT20"/>
  <c r="AT19"/>
  <c r="AT18"/>
  <c r="AT17"/>
  <c r="AT16"/>
  <c r="AT15"/>
  <c r="AT14"/>
  <c r="AT13"/>
  <c r="AT12"/>
  <c r="AT11"/>
  <c r="AT10"/>
  <c r="AT9"/>
  <c r="AT8"/>
  <c r="AP318"/>
  <c r="AP317"/>
  <c r="AP316"/>
  <c r="AP315"/>
  <c r="AP313"/>
  <c r="AP312"/>
  <c r="AP311"/>
  <c r="AP310"/>
  <c r="AP309"/>
  <c r="AP306"/>
  <c r="AP305"/>
  <c r="AP303"/>
  <c r="AP302"/>
  <c r="AP301"/>
  <c r="AP300"/>
  <c r="AP297"/>
  <c r="AP296"/>
  <c r="AP295"/>
  <c r="AP294"/>
  <c r="AP292"/>
  <c r="AP291"/>
  <c r="AP290"/>
  <c r="AP289"/>
  <c r="AP288"/>
  <c r="AP285"/>
  <c r="AP284"/>
  <c r="AP283"/>
  <c r="AP282"/>
  <c r="AP280"/>
  <c r="AP279"/>
  <c r="AP278"/>
  <c r="AP277"/>
  <c r="AP276"/>
  <c r="AP275"/>
  <c r="AP271"/>
  <c r="AP270"/>
  <c r="AP269"/>
  <c r="AP268"/>
  <c r="AP267"/>
  <c r="AP266"/>
  <c r="AP265"/>
  <c r="AP263"/>
  <c r="AP262"/>
  <c r="AP261"/>
  <c r="AP259"/>
  <c r="AP258"/>
  <c r="AP257"/>
  <c r="AP256"/>
  <c r="AP255"/>
  <c r="AP252"/>
  <c r="AP251"/>
  <c r="AP249"/>
  <c r="AP248"/>
  <c r="AP247"/>
  <c r="AP246"/>
  <c r="AP245"/>
  <c r="AP244"/>
  <c r="AP242"/>
  <c r="AP241"/>
  <c r="AP240"/>
  <c r="AP239"/>
  <c r="AP238"/>
  <c r="AP237"/>
  <c r="AP236"/>
  <c r="AP235"/>
  <c r="AP234"/>
  <c r="AP233"/>
  <c r="AP232"/>
  <c r="AP231"/>
  <c r="AP230"/>
  <c r="AP229"/>
  <c r="AP228"/>
  <c r="AP227"/>
  <c r="AP226"/>
  <c r="AP225"/>
  <c r="AP224"/>
  <c r="AP223"/>
  <c r="AP222"/>
  <c r="AP221"/>
  <c r="AP220"/>
  <c r="AP219"/>
  <c r="AP218"/>
  <c r="AP217"/>
  <c r="AP216"/>
  <c r="AP215"/>
  <c r="AP214"/>
  <c r="AP213"/>
  <c r="AP212"/>
  <c r="AP211"/>
  <c r="AP210"/>
  <c r="AP209"/>
  <c r="AP208"/>
  <c r="AP207"/>
  <c r="AP206"/>
  <c r="AP205"/>
  <c r="AP204"/>
  <c r="AP203"/>
  <c r="AP202"/>
  <c r="AP201"/>
  <c r="AP200"/>
  <c r="AP199"/>
  <c r="AP198"/>
  <c r="AP197"/>
  <c r="AP196"/>
  <c r="AP195"/>
  <c r="AP194"/>
  <c r="AP193"/>
  <c r="AP192"/>
  <c r="AP191"/>
  <c r="AP190"/>
  <c r="AP189"/>
  <c r="AP188"/>
  <c r="AP187"/>
  <c r="AP186"/>
  <c r="AP185"/>
  <c r="AP184"/>
  <c r="AP183"/>
  <c r="AP182"/>
  <c r="AP181"/>
  <c r="AP180"/>
  <c r="AP179"/>
  <c r="AP178"/>
  <c r="AP177"/>
  <c r="AP176"/>
  <c r="AP175"/>
  <c r="AP174"/>
  <c r="AP173"/>
  <c r="AP172"/>
  <c r="AP171"/>
  <c r="AP170"/>
  <c r="AP157"/>
  <c r="AP156"/>
  <c r="AP155"/>
  <c r="AP154"/>
  <c r="AP153"/>
  <c r="AP152"/>
  <c r="AP151"/>
  <c r="AP150"/>
  <c r="AP149"/>
  <c r="AP148"/>
  <c r="AP147"/>
  <c r="AP145"/>
  <c r="AP144"/>
  <c r="AP143"/>
  <c r="AP142"/>
  <c r="AP141"/>
  <c r="AP140"/>
  <c r="AP139"/>
  <c r="AP138"/>
  <c r="AP136"/>
  <c r="AP135"/>
  <c r="AP134"/>
  <c r="AP133"/>
  <c r="AP132"/>
  <c r="AP131"/>
  <c r="AP130"/>
  <c r="AP129"/>
  <c r="AP128"/>
  <c r="AP127"/>
  <c r="AP126"/>
  <c r="AP124"/>
  <c r="AP123"/>
  <c r="AP122"/>
  <c r="AP121"/>
  <c r="AP120"/>
  <c r="AP119"/>
  <c r="AP118"/>
  <c r="AP117"/>
  <c r="AP116"/>
  <c r="AP115"/>
  <c r="AP114"/>
  <c r="AP113"/>
  <c r="AP111"/>
  <c r="AP110"/>
  <c r="AP109"/>
  <c r="AP108"/>
  <c r="AP107"/>
  <c r="AP106"/>
  <c r="AP105"/>
  <c r="AP104"/>
  <c r="AP103"/>
  <c r="AP102"/>
  <c r="AP101"/>
  <c r="AP100"/>
  <c r="AP99"/>
  <c r="AP98"/>
  <c r="AP97"/>
  <c r="AP96"/>
  <c r="AP95"/>
  <c r="AP94"/>
  <c r="AP93"/>
  <c r="AP90"/>
  <c r="AP89"/>
  <c r="AP88"/>
  <c r="AP87"/>
  <c r="AP86"/>
  <c r="AP85"/>
  <c r="AP84"/>
  <c r="AP83"/>
  <c r="AP82"/>
  <c r="AP80"/>
  <c r="AP79"/>
  <c r="AP78"/>
  <c r="AP77"/>
  <c r="AP76"/>
  <c r="AP75"/>
  <c r="AP74"/>
  <c r="AP73"/>
  <c r="AP72"/>
  <c r="AP71"/>
  <c r="AP70"/>
  <c r="AP69"/>
  <c r="AP68"/>
  <c r="AP67"/>
  <c r="AP66"/>
  <c r="AP65"/>
  <c r="AP64"/>
  <c r="AP63"/>
  <c r="AP62"/>
  <c r="AP61"/>
  <c r="AP60"/>
  <c r="AP59"/>
  <c r="AP58"/>
  <c r="AP57"/>
  <c r="AP56"/>
  <c r="AP55"/>
  <c r="AP54"/>
  <c r="AP53"/>
  <c r="AP52"/>
  <c r="AP51"/>
  <c r="AP50"/>
  <c r="AP49"/>
  <c r="AP48"/>
  <c r="AP47"/>
  <c r="AP46"/>
  <c r="AP45"/>
  <c r="AP44"/>
  <c r="AP43"/>
  <c r="AP42"/>
  <c r="AP41"/>
  <c r="AP40"/>
  <c r="AP39"/>
  <c r="AP38"/>
  <c r="AP37"/>
  <c r="AP36"/>
  <c r="AP35"/>
  <c r="AP34"/>
  <c r="AP33"/>
  <c r="AP32"/>
  <c r="AP31"/>
  <c r="AP30"/>
  <c r="AP29"/>
  <c r="AP28"/>
  <c r="AP27"/>
  <c r="AP26"/>
  <c r="AP25"/>
  <c r="AP24"/>
  <c r="AP23"/>
  <c r="AP22"/>
  <c r="AP21"/>
  <c r="AP20"/>
  <c r="AP19"/>
  <c r="AP18"/>
  <c r="AP17"/>
  <c r="AP16"/>
  <c r="AP15"/>
  <c r="AP14"/>
  <c r="AP13"/>
  <c r="AP12"/>
  <c r="AP11"/>
  <c r="AP10"/>
  <c r="AP9"/>
  <c r="AP8"/>
  <c r="AL157"/>
  <c r="AL156"/>
  <c r="AL155"/>
  <c r="AL154"/>
  <c r="AL153"/>
  <c r="AL152"/>
  <c r="AL151"/>
  <c r="AL150"/>
  <c r="AL149"/>
  <c r="AL148"/>
  <c r="AL147"/>
  <c r="AL145"/>
  <c r="AL144"/>
  <c r="AL143"/>
  <c r="AL142"/>
  <c r="AL141"/>
  <c r="AL140"/>
  <c r="AL139"/>
  <c r="AL138"/>
  <c r="AL136"/>
  <c r="AL135"/>
  <c r="AL134"/>
  <c r="AL133"/>
  <c r="AL132"/>
  <c r="AL131"/>
  <c r="AL130"/>
  <c r="AL129"/>
  <c r="AL128"/>
  <c r="AL127"/>
  <c r="AL126"/>
  <c r="AL124"/>
  <c r="AL123"/>
  <c r="AL122"/>
  <c r="AL121"/>
  <c r="AL120"/>
  <c r="AL119"/>
  <c r="AL118"/>
  <c r="AL117"/>
  <c r="AL116"/>
  <c r="AL115"/>
  <c r="AL114"/>
  <c r="AL113"/>
  <c r="AL111"/>
  <c r="AL110"/>
  <c r="AL109"/>
  <c r="AL108"/>
  <c r="AL107"/>
  <c r="AL106"/>
  <c r="AL105"/>
  <c r="AL104"/>
  <c r="AL103"/>
  <c r="AL102"/>
  <c r="AL101"/>
  <c r="AL100"/>
  <c r="AL99"/>
  <c r="AL98"/>
  <c r="AL97"/>
  <c r="AL96"/>
  <c r="AL95"/>
  <c r="AL94"/>
  <c r="AL93"/>
  <c r="AL90"/>
  <c r="AL89"/>
  <c r="AL87"/>
  <c r="AL86"/>
  <c r="AL85"/>
  <c r="AL84"/>
  <c r="AL83"/>
  <c r="AL82"/>
  <c r="AL80"/>
  <c r="AL79"/>
  <c r="AL78"/>
  <c r="AL77"/>
  <c r="AL76"/>
  <c r="AL75"/>
  <c r="AL74"/>
  <c r="AL73"/>
  <c r="AL72"/>
  <c r="AL71"/>
  <c r="AL70"/>
  <c r="AL69"/>
  <c r="AL68"/>
  <c r="AL67"/>
  <c r="AL66"/>
  <c r="AL65"/>
  <c r="AL64"/>
  <c r="AL63"/>
  <c r="AL62"/>
  <c r="AL61"/>
  <c r="AL60"/>
  <c r="AL59"/>
  <c r="AL58"/>
  <c r="AL57"/>
  <c r="AL56"/>
  <c r="AL55"/>
  <c r="AL54"/>
  <c r="AL53"/>
  <c r="AL52"/>
  <c r="AL51"/>
  <c r="AL50"/>
  <c r="AL49"/>
  <c r="AL48"/>
  <c r="AL47"/>
  <c r="AL46"/>
  <c r="AL45"/>
  <c r="AL44"/>
  <c r="AL43"/>
  <c r="AL42"/>
  <c r="AL41"/>
  <c r="AL40"/>
  <c r="AL39"/>
  <c r="AL38"/>
  <c r="AL37"/>
  <c r="AL36"/>
  <c r="AL35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H319"/>
  <c r="AH318"/>
  <c r="AH317"/>
  <c r="AH316"/>
  <c r="AH315"/>
  <c r="AH314"/>
  <c r="AH313"/>
  <c r="AH312"/>
  <c r="AH311"/>
  <c r="AH310"/>
  <c r="AH309"/>
  <c r="AH306"/>
  <c r="AH305"/>
  <c r="AH303"/>
  <c r="AH302"/>
  <c r="AH301"/>
  <c r="AH300"/>
  <c r="AH298"/>
  <c r="AH297"/>
  <c r="AH296"/>
  <c r="AH295"/>
  <c r="AH294"/>
  <c r="AH293"/>
  <c r="AH292"/>
  <c r="AH291"/>
  <c r="AH290"/>
  <c r="AH289"/>
  <c r="AH288"/>
  <c r="AH286"/>
  <c r="AH285"/>
  <c r="AH284"/>
  <c r="AH283"/>
  <c r="AH282"/>
  <c r="AH281"/>
  <c r="AH280"/>
  <c r="AH279"/>
  <c r="AH278"/>
  <c r="AH277"/>
  <c r="AH276"/>
  <c r="AH275"/>
  <c r="AH272"/>
  <c r="AH271"/>
  <c r="AH270"/>
  <c r="AH269"/>
  <c r="AH268"/>
  <c r="AH267"/>
  <c r="AH266"/>
  <c r="AH265"/>
  <c r="AH264"/>
  <c r="AH263"/>
  <c r="AH262"/>
  <c r="AH261"/>
  <c r="AH259"/>
  <c r="AH258"/>
  <c r="AH257"/>
  <c r="AH256"/>
  <c r="AH255"/>
  <c r="AH252"/>
  <c r="AH251"/>
  <c r="AH249"/>
  <c r="AH248"/>
  <c r="AH247"/>
  <c r="AH246"/>
  <c r="AH245"/>
  <c r="AH244"/>
  <c r="AH242"/>
  <c r="AH241"/>
  <c r="AH240"/>
  <c r="AH239"/>
  <c r="AH238"/>
  <c r="AH237"/>
  <c r="AH236"/>
  <c r="AH235"/>
  <c r="AH234"/>
  <c r="AH233"/>
  <c r="AH232"/>
  <c r="AH231"/>
  <c r="AH230"/>
  <c r="AH229"/>
  <c r="AH228"/>
  <c r="AH227"/>
  <c r="AH226"/>
  <c r="AH225"/>
  <c r="AH224"/>
  <c r="AH223"/>
  <c r="AH222"/>
  <c r="AH221"/>
  <c r="AH220"/>
  <c r="AH219"/>
  <c r="AH218"/>
  <c r="AH217"/>
  <c r="AH216"/>
  <c r="AH215"/>
  <c r="AH214"/>
  <c r="AH213"/>
  <c r="AH212"/>
  <c r="AH211"/>
  <c r="AH210"/>
  <c r="AH209"/>
  <c r="AH208"/>
  <c r="AH207"/>
  <c r="AH206"/>
  <c r="AH205"/>
  <c r="AH204"/>
  <c r="AH203"/>
  <c r="AH202"/>
  <c r="AH201"/>
  <c r="AH200"/>
  <c r="AH199"/>
  <c r="AH198"/>
  <c r="AH197"/>
  <c r="AH196"/>
  <c r="AH195"/>
  <c r="AH194"/>
  <c r="AH193"/>
  <c r="AH192"/>
  <c r="AH191"/>
  <c r="AH190"/>
  <c r="AH189"/>
  <c r="AH188"/>
  <c r="AH187"/>
  <c r="AH186"/>
  <c r="AH185"/>
  <c r="AH184"/>
  <c r="AH183"/>
  <c r="AH182"/>
  <c r="AH181"/>
  <c r="AH180"/>
  <c r="AH179"/>
  <c r="AH178"/>
  <c r="AH177"/>
  <c r="AH176"/>
  <c r="AH175"/>
  <c r="AH174"/>
  <c r="AH173"/>
  <c r="AH172"/>
  <c r="AH171"/>
  <c r="AH170"/>
  <c r="AD319"/>
  <c r="AD318"/>
  <c r="AD317"/>
  <c r="AD316"/>
  <c r="AD315"/>
  <c r="AD314"/>
  <c r="AD313"/>
  <c r="AD312"/>
  <c r="AD311"/>
  <c r="AD310"/>
  <c r="AD309"/>
  <c r="AD307"/>
  <c r="AD306"/>
  <c r="AD305"/>
  <c r="AD304"/>
  <c r="AD303"/>
  <c r="AD302"/>
  <c r="AD301"/>
  <c r="AD300"/>
  <c r="AD298"/>
  <c r="AD297"/>
  <c r="AD296"/>
  <c r="AD295"/>
  <c r="AD294"/>
  <c r="AD293"/>
  <c r="AD292"/>
  <c r="AD291"/>
  <c r="AD290"/>
  <c r="AD289"/>
  <c r="AD288"/>
  <c r="AD286"/>
  <c r="AD285"/>
  <c r="AD284"/>
  <c r="AD283"/>
  <c r="AD282"/>
  <c r="AD281"/>
  <c r="AD280"/>
  <c r="AD279"/>
  <c r="AD278"/>
  <c r="AD277"/>
  <c r="AD276"/>
  <c r="AD275"/>
  <c r="AD273"/>
  <c r="AD272"/>
  <c r="AD271"/>
  <c r="AD270"/>
  <c r="AD269"/>
  <c r="AD268"/>
  <c r="AD267"/>
  <c r="AD266"/>
  <c r="AD265"/>
  <c r="AD264"/>
  <c r="AD263"/>
  <c r="AD262"/>
  <c r="AD261"/>
  <c r="AD260"/>
  <c r="AD259"/>
  <c r="AD258"/>
  <c r="AD257"/>
  <c r="AD256"/>
  <c r="AD255"/>
  <c r="AD252"/>
  <c r="AD251"/>
  <c r="AD249"/>
  <c r="AD248"/>
  <c r="AD247"/>
  <c r="AD246"/>
  <c r="AD245"/>
  <c r="AD244"/>
  <c r="AD242"/>
  <c r="AD241"/>
  <c r="AD240"/>
  <c r="AD239"/>
  <c r="AD238"/>
  <c r="AD237"/>
  <c r="AD236"/>
  <c r="AD235"/>
  <c r="AD234"/>
  <c r="AD233"/>
  <c r="AD232"/>
  <c r="AD231"/>
  <c r="AD230"/>
  <c r="AD229"/>
  <c r="AD228"/>
  <c r="AD227"/>
  <c r="AD226"/>
  <c r="AD225"/>
  <c r="AD224"/>
  <c r="AD223"/>
  <c r="AD222"/>
  <c r="AD221"/>
  <c r="AD220"/>
  <c r="AD219"/>
  <c r="AD218"/>
  <c r="AD217"/>
  <c r="AD216"/>
  <c r="AD215"/>
  <c r="AD214"/>
  <c r="AD213"/>
  <c r="AD212"/>
  <c r="AD211"/>
  <c r="AD210"/>
  <c r="AD209"/>
  <c r="AD208"/>
  <c r="AD207"/>
  <c r="AD206"/>
  <c r="AD205"/>
  <c r="AD204"/>
  <c r="AD203"/>
  <c r="AD202"/>
  <c r="AD201"/>
  <c r="AD200"/>
  <c r="AD199"/>
  <c r="AD198"/>
  <c r="AD197"/>
  <c r="AD196"/>
  <c r="AD195"/>
  <c r="AD194"/>
  <c r="AD193"/>
  <c r="AD192"/>
  <c r="AD191"/>
  <c r="AD190"/>
  <c r="AD189"/>
  <c r="AD188"/>
  <c r="AD187"/>
  <c r="AD186"/>
  <c r="AD185"/>
  <c r="AD184"/>
  <c r="AD183"/>
  <c r="AD182"/>
  <c r="AD181"/>
  <c r="AD180"/>
  <c r="AD179"/>
  <c r="AD178"/>
  <c r="AD177"/>
  <c r="AD176"/>
  <c r="AD175"/>
  <c r="AD174"/>
  <c r="AD173"/>
  <c r="AD172"/>
  <c r="AD171"/>
  <c r="AD170"/>
  <c r="AD157"/>
  <c r="AD156"/>
  <c r="AD155"/>
  <c r="AD154"/>
  <c r="AD153"/>
  <c r="AD152"/>
  <c r="AD151"/>
  <c r="AD150"/>
  <c r="AD149"/>
  <c r="AD148"/>
  <c r="AD147"/>
  <c r="AD145"/>
  <c r="AD144"/>
  <c r="AD143"/>
  <c r="AD142"/>
  <c r="AD141"/>
  <c r="AD140"/>
  <c r="AD139"/>
  <c r="AD138"/>
  <c r="AD135"/>
  <c r="AD134"/>
  <c r="AD133"/>
  <c r="AD132"/>
  <c r="AD130"/>
  <c r="AD129"/>
  <c r="AD128"/>
  <c r="AD127"/>
  <c r="AD126"/>
  <c r="AD124"/>
  <c r="AD123"/>
  <c r="AD122"/>
  <c r="AD121"/>
  <c r="AD120"/>
  <c r="AD119"/>
  <c r="AD118"/>
  <c r="AD117"/>
  <c r="AD116"/>
  <c r="AD115"/>
  <c r="AD114"/>
  <c r="AD113"/>
  <c r="AD111"/>
  <c r="AD110"/>
  <c r="AD109"/>
  <c r="AD108"/>
  <c r="AD107"/>
  <c r="AD106"/>
  <c r="AD105"/>
  <c r="AD104"/>
  <c r="AD103"/>
  <c r="AD102"/>
  <c r="AD101"/>
  <c r="AD100"/>
  <c r="AD99"/>
  <c r="AD98"/>
  <c r="AD97"/>
  <c r="AD96"/>
  <c r="AD95"/>
  <c r="AD94"/>
  <c r="AD93"/>
  <c r="AD90"/>
  <c r="AD89"/>
  <c r="AD88"/>
  <c r="AD87"/>
  <c r="AD86"/>
  <c r="AD85"/>
  <c r="AD84"/>
  <c r="AD83"/>
  <c r="AD82"/>
  <c r="AD80"/>
  <c r="AD79"/>
  <c r="AD78"/>
  <c r="AD77"/>
  <c r="AD76"/>
  <c r="AD75"/>
  <c r="AD74"/>
  <c r="AD73"/>
  <c r="AD72"/>
  <c r="AD71"/>
  <c r="AD70"/>
  <c r="AD69"/>
  <c r="AD68"/>
  <c r="AD67"/>
  <c r="AD66"/>
  <c r="AD65"/>
  <c r="AD64"/>
  <c r="AD63"/>
  <c r="AD62"/>
  <c r="AD61"/>
  <c r="AD60"/>
  <c r="AD59"/>
  <c r="AD58"/>
  <c r="AD57"/>
  <c r="AD56"/>
  <c r="AD55"/>
  <c r="AD54"/>
  <c r="AD53"/>
  <c r="AD52"/>
  <c r="AD51"/>
  <c r="AD50"/>
  <c r="AD49"/>
  <c r="AD48"/>
  <c r="AD47"/>
  <c r="AD46"/>
  <c r="AD45"/>
  <c r="AD44"/>
  <c r="AD43"/>
  <c r="AD42"/>
  <c r="AD41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Z318"/>
  <c r="Z317"/>
  <c r="Z316"/>
  <c r="Z315"/>
  <c r="Z313"/>
  <c r="Z312"/>
  <c r="Z311"/>
  <c r="Z310"/>
  <c r="Z309"/>
  <c r="Z306"/>
  <c r="Z305"/>
  <c r="Z303"/>
  <c r="Z302"/>
  <c r="Z301"/>
  <c r="Z300"/>
  <c r="Z297"/>
  <c r="Z296"/>
  <c r="Z295"/>
  <c r="Z294"/>
  <c r="Z292"/>
  <c r="Z291"/>
  <c r="Z290"/>
  <c r="Z289"/>
  <c r="Z288"/>
  <c r="Z285"/>
  <c r="Z284"/>
  <c r="Z283"/>
  <c r="Z282"/>
  <c r="Z280"/>
  <c r="Z279"/>
  <c r="Z278"/>
  <c r="Z277"/>
  <c r="Z276"/>
  <c r="Z275"/>
  <c r="Z271"/>
  <c r="Z270"/>
  <c r="Z269"/>
  <c r="Z268"/>
  <c r="Z267"/>
  <c r="Z266"/>
  <c r="Z265"/>
  <c r="Z263"/>
  <c r="Z262"/>
  <c r="Z261"/>
  <c r="Z259"/>
  <c r="Z258"/>
  <c r="Z257"/>
  <c r="Z256"/>
  <c r="Z255"/>
  <c r="Z252"/>
  <c r="Z251"/>
  <c r="Z249"/>
  <c r="Z248"/>
  <c r="Z247"/>
  <c r="Z246"/>
  <c r="Z245"/>
  <c r="Z244"/>
  <c r="Z242"/>
  <c r="Z241"/>
  <c r="Z240"/>
  <c r="Z239"/>
  <c r="Z238"/>
  <c r="Z237"/>
  <c r="Z236"/>
  <c r="Z235"/>
  <c r="Z234"/>
  <c r="Z233"/>
  <c r="Z232"/>
  <c r="Z231"/>
  <c r="Z230"/>
  <c r="Z229"/>
  <c r="Z228"/>
  <c r="Z227"/>
  <c r="Z226"/>
  <c r="Z225"/>
  <c r="Z224"/>
  <c r="Z223"/>
  <c r="Z222"/>
  <c r="Z221"/>
  <c r="Z220"/>
  <c r="Z219"/>
  <c r="Z218"/>
  <c r="Z217"/>
  <c r="Z216"/>
  <c r="Z215"/>
  <c r="Z214"/>
  <c r="Z213"/>
  <c r="Z212"/>
  <c r="Z211"/>
  <c r="Z210"/>
  <c r="Z209"/>
  <c r="Z208"/>
  <c r="Z207"/>
  <c r="Z206"/>
  <c r="Z205"/>
  <c r="Z204"/>
  <c r="Z203"/>
  <c r="Z202"/>
  <c r="Z201"/>
  <c r="Z200"/>
  <c r="Z199"/>
  <c r="Z198"/>
  <c r="Z197"/>
  <c r="Z196"/>
  <c r="Z195"/>
  <c r="Z194"/>
  <c r="Z193"/>
  <c r="Z192"/>
  <c r="Z191"/>
  <c r="Z190"/>
  <c r="Z189"/>
  <c r="Z188"/>
  <c r="Z187"/>
  <c r="Z186"/>
  <c r="Z185"/>
  <c r="Z184"/>
  <c r="Z183"/>
  <c r="Z182"/>
  <c r="Z181"/>
  <c r="Z180"/>
  <c r="Z179"/>
  <c r="Z178"/>
  <c r="Z177"/>
  <c r="Z176"/>
  <c r="Z175"/>
  <c r="Z174"/>
  <c r="Z173"/>
  <c r="Z172"/>
  <c r="Z171"/>
  <c r="Z170"/>
  <c r="Z157"/>
  <c r="Z156"/>
  <c r="Z155"/>
  <c r="Z154"/>
  <c r="Z153"/>
  <c r="Z152"/>
  <c r="Z151"/>
  <c r="Z150"/>
  <c r="Z149"/>
  <c r="Z148"/>
  <c r="Z147"/>
  <c r="Z145"/>
  <c r="Z144"/>
  <c r="Z143"/>
  <c r="Z142"/>
  <c r="Z141"/>
  <c r="Z140"/>
  <c r="Z139"/>
  <c r="Z138"/>
  <c r="Z135"/>
  <c r="Z134"/>
  <c r="Z133"/>
  <c r="Z132"/>
  <c r="Z130"/>
  <c r="Z129"/>
  <c r="Z128"/>
  <c r="Z127"/>
  <c r="Z126"/>
  <c r="Z123"/>
  <c r="Z122"/>
  <c r="Z121"/>
  <c r="Z120"/>
  <c r="Z118"/>
  <c r="Z117"/>
  <c r="Z116"/>
  <c r="Z115"/>
  <c r="Z114"/>
  <c r="Z113"/>
  <c r="Z110"/>
  <c r="Z109"/>
  <c r="Z108"/>
  <c r="Z107"/>
  <c r="Z106"/>
  <c r="Z105"/>
  <c r="Z104"/>
  <c r="Z103"/>
  <c r="Z101"/>
  <c r="Z100"/>
  <c r="Z99"/>
  <c r="Z97"/>
  <c r="Z96"/>
  <c r="Z95"/>
  <c r="Z94"/>
  <c r="Z93"/>
  <c r="Z90"/>
  <c r="Z89"/>
  <c r="Z88"/>
  <c r="Z87"/>
  <c r="Z86"/>
  <c r="Z85"/>
  <c r="Z84"/>
  <c r="Z83"/>
  <c r="Z82"/>
  <c r="Z80"/>
  <c r="Z79"/>
  <c r="Z78"/>
  <c r="Z77"/>
  <c r="Z76"/>
  <c r="Z75"/>
  <c r="Z74"/>
  <c r="Z73"/>
  <c r="Z72"/>
  <c r="Z71"/>
  <c r="Z70"/>
  <c r="Z69"/>
  <c r="Z68"/>
  <c r="Z67"/>
  <c r="Z66"/>
  <c r="Z65"/>
  <c r="Z64"/>
  <c r="Z63"/>
  <c r="Z62"/>
  <c r="Z61"/>
  <c r="Z60"/>
  <c r="Z59"/>
  <c r="Z58"/>
  <c r="Z57"/>
  <c r="Z56"/>
  <c r="Z55"/>
  <c r="Z54"/>
  <c r="Z53"/>
  <c r="Z52"/>
  <c r="Z51"/>
  <c r="Z50"/>
  <c r="Z49"/>
  <c r="Z48"/>
  <c r="Z47"/>
  <c r="Z46"/>
  <c r="Z45"/>
  <c r="Z44"/>
  <c r="Z43"/>
  <c r="Z42"/>
  <c r="Z41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V318"/>
  <c r="V317"/>
  <c r="V316"/>
  <c r="V315"/>
  <c r="V313"/>
  <c r="V312"/>
  <c r="V311"/>
  <c r="V310"/>
  <c r="V309"/>
  <c r="V306"/>
  <c r="V305"/>
  <c r="V303"/>
  <c r="V302"/>
  <c r="V301"/>
  <c r="V300"/>
  <c r="V297"/>
  <c r="V296"/>
  <c r="V295"/>
  <c r="V294"/>
  <c r="V292"/>
  <c r="V291"/>
  <c r="V290"/>
  <c r="V289"/>
  <c r="V288"/>
  <c r="V285"/>
  <c r="V284"/>
  <c r="V283"/>
  <c r="V282"/>
  <c r="V280"/>
  <c r="V279"/>
  <c r="V278"/>
  <c r="V277"/>
  <c r="V276"/>
  <c r="V275"/>
  <c r="V271"/>
  <c r="V270"/>
  <c r="V269"/>
  <c r="V268"/>
  <c r="V267"/>
  <c r="V266"/>
  <c r="V265"/>
  <c r="V263"/>
  <c r="V262"/>
  <c r="V261"/>
  <c r="V259"/>
  <c r="V258"/>
  <c r="V257"/>
  <c r="V256"/>
  <c r="V255"/>
  <c r="V252"/>
  <c r="V251"/>
  <c r="V250"/>
  <c r="V249"/>
  <c r="V248"/>
  <c r="V247"/>
  <c r="V246"/>
  <c r="V245"/>
  <c r="V244"/>
  <c r="V242"/>
  <c r="V241"/>
  <c r="V240"/>
  <c r="V239"/>
  <c r="V238"/>
  <c r="V237"/>
  <c r="V236"/>
  <c r="V235"/>
  <c r="V234"/>
  <c r="V233"/>
  <c r="V232"/>
  <c r="V231"/>
  <c r="V230"/>
  <c r="V229"/>
  <c r="V228"/>
  <c r="V227"/>
  <c r="V226"/>
  <c r="V225"/>
  <c r="V224"/>
  <c r="V223"/>
  <c r="V222"/>
  <c r="V221"/>
  <c r="V220"/>
  <c r="V219"/>
  <c r="V218"/>
  <c r="V217"/>
  <c r="V216"/>
  <c r="V215"/>
  <c r="V214"/>
  <c r="V213"/>
  <c r="V212"/>
  <c r="V211"/>
  <c r="V210"/>
  <c r="V209"/>
  <c r="V208"/>
  <c r="V207"/>
  <c r="V206"/>
  <c r="V205"/>
  <c r="V204"/>
  <c r="V203"/>
  <c r="V202"/>
  <c r="V201"/>
  <c r="V200"/>
  <c r="V199"/>
  <c r="V198"/>
  <c r="V197"/>
  <c r="V196"/>
  <c r="V195"/>
  <c r="V194"/>
  <c r="V193"/>
  <c r="V192"/>
  <c r="V191"/>
  <c r="V190"/>
  <c r="V189"/>
  <c r="V188"/>
  <c r="V187"/>
  <c r="V186"/>
  <c r="V185"/>
  <c r="V184"/>
  <c r="V183"/>
  <c r="V182"/>
  <c r="V181"/>
  <c r="V180"/>
  <c r="V179"/>
  <c r="V178"/>
  <c r="V177"/>
  <c r="V176"/>
  <c r="V175"/>
  <c r="V174"/>
  <c r="V173"/>
  <c r="V172"/>
  <c r="V171"/>
  <c r="V170"/>
  <c r="V157"/>
  <c r="V156"/>
  <c r="V155"/>
  <c r="V154"/>
  <c r="V153"/>
  <c r="V152"/>
  <c r="V151"/>
  <c r="V150"/>
  <c r="V149"/>
  <c r="V148"/>
  <c r="V147"/>
  <c r="V144"/>
  <c r="V143"/>
  <c r="V141"/>
  <c r="V140"/>
  <c r="V139"/>
  <c r="V138"/>
  <c r="V136"/>
  <c r="V135"/>
  <c r="V134"/>
  <c r="V133"/>
  <c r="V132"/>
  <c r="V131"/>
  <c r="V130"/>
  <c r="V129"/>
  <c r="V128"/>
  <c r="V127"/>
  <c r="V126"/>
  <c r="V124"/>
  <c r="V123"/>
  <c r="V122"/>
  <c r="V121"/>
  <c r="V120"/>
  <c r="V119"/>
  <c r="V118"/>
  <c r="V117"/>
  <c r="V116"/>
  <c r="V115"/>
  <c r="V114"/>
  <c r="V113"/>
  <c r="V110"/>
  <c r="V109"/>
  <c r="V108"/>
  <c r="V107"/>
  <c r="V106"/>
  <c r="V105"/>
  <c r="V104"/>
  <c r="V103"/>
  <c r="V102"/>
  <c r="V101"/>
  <c r="V100"/>
  <c r="V99"/>
  <c r="V97"/>
  <c r="V96"/>
  <c r="V95"/>
  <c r="V94"/>
  <c r="V93"/>
  <c r="V90"/>
  <c r="V89"/>
  <c r="V88"/>
  <c r="V87"/>
  <c r="V86"/>
  <c r="V85"/>
  <c r="V84"/>
  <c r="V83"/>
  <c r="V82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R318"/>
  <c r="R317"/>
  <c r="R316"/>
  <c r="R315"/>
  <c r="R313"/>
  <c r="R312"/>
  <c r="R311"/>
  <c r="R310"/>
  <c r="R309"/>
  <c r="R306"/>
  <c r="R305"/>
  <c r="R303"/>
  <c r="R302"/>
  <c r="R301"/>
  <c r="R300"/>
  <c r="R297"/>
  <c r="R296"/>
  <c r="R295"/>
  <c r="R294"/>
  <c r="R292"/>
  <c r="R291"/>
  <c r="R290"/>
  <c r="R289"/>
  <c r="R288"/>
  <c r="R285"/>
  <c r="R284"/>
  <c r="R283"/>
  <c r="R282"/>
  <c r="R280"/>
  <c r="R279"/>
  <c r="R278"/>
  <c r="R277"/>
  <c r="R276"/>
  <c r="R275"/>
  <c r="R271"/>
  <c r="R270"/>
  <c r="R269"/>
  <c r="R268"/>
  <c r="R267"/>
  <c r="R266"/>
  <c r="R265"/>
  <c r="R263"/>
  <c r="R262"/>
  <c r="R261"/>
  <c r="R259"/>
  <c r="R258"/>
  <c r="R257"/>
  <c r="R256"/>
  <c r="R255"/>
  <c r="R252"/>
  <c r="R251"/>
  <c r="R250"/>
  <c r="R249"/>
  <c r="R248"/>
  <c r="R247"/>
  <c r="R246"/>
  <c r="R245"/>
  <c r="R244"/>
  <c r="R242"/>
  <c r="R241"/>
  <c r="R240"/>
  <c r="R239"/>
  <c r="R238"/>
  <c r="R237"/>
  <c r="R236"/>
  <c r="R235"/>
  <c r="R234"/>
  <c r="R233"/>
  <c r="R232"/>
  <c r="R231"/>
  <c r="R230"/>
  <c r="R229"/>
  <c r="R228"/>
  <c r="R227"/>
  <c r="R226"/>
  <c r="R225"/>
  <c r="R224"/>
  <c r="R223"/>
  <c r="R222"/>
  <c r="R221"/>
  <c r="R220"/>
  <c r="R219"/>
  <c r="R218"/>
  <c r="R217"/>
  <c r="R216"/>
  <c r="R215"/>
  <c r="R214"/>
  <c r="R213"/>
  <c r="R212"/>
  <c r="R211"/>
  <c r="R210"/>
  <c r="R209"/>
  <c r="R208"/>
  <c r="R207"/>
  <c r="R206"/>
  <c r="R205"/>
  <c r="R204"/>
  <c r="R203"/>
  <c r="R202"/>
  <c r="R201"/>
  <c r="R200"/>
  <c r="R199"/>
  <c r="R198"/>
  <c r="R197"/>
  <c r="R196"/>
  <c r="R195"/>
  <c r="R194"/>
  <c r="R193"/>
  <c r="R192"/>
  <c r="R191"/>
  <c r="R190"/>
  <c r="R189"/>
  <c r="R188"/>
  <c r="R187"/>
  <c r="R186"/>
  <c r="R185"/>
  <c r="R184"/>
  <c r="R183"/>
  <c r="R182"/>
  <c r="R181"/>
  <c r="R180"/>
  <c r="R179"/>
  <c r="R178"/>
  <c r="R177"/>
  <c r="R176"/>
  <c r="R175"/>
  <c r="R174"/>
  <c r="R173"/>
  <c r="R172"/>
  <c r="R171"/>
  <c r="R170"/>
  <c r="R157"/>
  <c r="R156"/>
  <c r="R155"/>
  <c r="R154"/>
  <c r="R153"/>
  <c r="R152"/>
  <c r="R151"/>
  <c r="R150"/>
  <c r="R149"/>
  <c r="R148"/>
  <c r="R147"/>
  <c r="R144"/>
  <c r="R143"/>
  <c r="R141"/>
  <c r="R140"/>
  <c r="R139"/>
  <c r="R138"/>
  <c r="R135"/>
  <c r="R134"/>
  <c r="R133"/>
  <c r="R132"/>
  <c r="R130"/>
  <c r="R129"/>
  <c r="R128"/>
  <c r="R127"/>
  <c r="R126"/>
  <c r="R124"/>
  <c r="R123"/>
  <c r="R122"/>
  <c r="R121"/>
  <c r="R120"/>
  <c r="R119"/>
  <c r="R118"/>
  <c r="R117"/>
  <c r="R116"/>
  <c r="R115"/>
  <c r="R114"/>
  <c r="R113"/>
  <c r="R109"/>
  <c r="R108"/>
  <c r="R107"/>
  <c r="R106"/>
  <c r="R105"/>
  <c r="R104"/>
  <c r="R103"/>
  <c r="R102"/>
  <c r="R101"/>
  <c r="R100"/>
  <c r="R99"/>
  <c r="R97"/>
  <c r="R96"/>
  <c r="R95"/>
  <c r="R94"/>
  <c r="R93"/>
  <c r="R90"/>
  <c r="R89"/>
  <c r="R87"/>
  <c r="R86"/>
  <c r="R85"/>
  <c r="R84"/>
  <c r="R83"/>
  <c r="R82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K36" i="79"/>
  <c r="G39"/>
  <c r="G35"/>
  <c r="G26"/>
  <c r="G25"/>
  <c r="G24"/>
  <c r="G23"/>
  <c r="G19"/>
  <c r="L121" i="78"/>
  <c r="O85"/>
  <c r="O70"/>
  <c r="O69"/>
  <c r="O68"/>
  <c r="O67"/>
  <c r="O50"/>
  <c r="O42"/>
  <c r="O38"/>
  <c r="O37"/>
  <c r="O36"/>
  <c r="O33"/>
  <c r="O20"/>
  <c r="O19"/>
  <c r="O18"/>
  <c r="O17"/>
  <c r="O16"/>
  <c r="O15"/>
  <c r="O14"/>
  <c r="O13"/>
  <c r="O12"/>
  <c r="O11"/>
  <c r="O10"/>
  <c r="O9"/>
  <c r="J120"/>
  <c r="J117"/>
  <c r="J114"/>
  <c r="J111"/>
  <c r="J108"/>
  <c r="J105"/>
  <c r="J102"/>
  <c r="J91"/>
  <c r="J88"/>
  <c r="J85"/>
  <c r="J82"/>
  <c r="J79"/>
  <c r="J70"/>
  <c r="J69"/>
  <c r="J67"/>
  <c r="J50"/>
  <c r="J51" s="1"/>
  <c r="J38"/>
  <c r="J36"/>
  <c r="J29"/>
  <c r="H120"/>
  <c r="H117"/>
  <c r="H114"/>
  <c r="H111"/>
  <c r="H108"/>
  <c r="H105"/>
  <c r="H102"/>
  <c r="H91"/>
  <c r="H88"/>
  <c r="H85"/>
  <c r="H82"/>
  <c r="H79"/>
  <c r="H70"/>
  <c r="H69"/>
  <c r="H67"/>
  <c r="H50"/>
  <c r="H38"/>
  <c r="H36"/>
  <c r="H29"/>
  <c r="J20"/>
  <c r="J19"/>
  <c r="J18"/>
  <c r="J16"/>
  <c r="J12"/>
  <c r="J11"/>
  <c r="H20"/>
  <c r="H19"/>
  <c r="H18"/>
  <c r="H16"/>
  <c r="H15"/>
  <c r="H12"/>
  <c r="H11"/>
  <c r="G133" i="77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5"/>
  <c r="G104"/>
  <c r="G103"/>
  <c r="G102"/>
  <c r="G100"/>
  <c r="G98"/>
  <c r="G97"/>
  <c r="G96"/>
  <c r="G95"/>
  <c r="G94"/>
  <c r="G93"/>
  <c r="G92"/>
  <c r="G91"/>
  <c r="G90"/>
  <c r="G89"/>
  <c r="G88"/>
  <c r="G87"/>
  <c r="G83"/>
  <c r="G81"/>
  <c r="G80"/>
  <c r="G79"/>
  <c r="G78"/>
  <c r="G76"/>
  <c r="G75"/>
  <c r="G74"/>
  <c r="G73"/>
  <c r="G72"/>
  <c r="G71"/>
  <c r="G70"/>
  <c r="G69"/>
  <c r="G68"/>
  <c r="G65"/>
  <c r="G64"/>
  <c r="G62"/>
  <c r="G61"/>
  <c r="G60"/>
  <c r="G57"/>
  <c r="G56"/>
  <c r="G55"/>
  <c r="G53"/>
  <c r="G52"/>
  <c r="G50"/>
  <c r="G49"/>
  <c r="G48"/>
  <c r="G47"/>
  <c r="G46"/>
  <c r="G45"/>
  <c r="G44"/>
  <c r="G43"/>
  <c r="G42"/>
  <c r="G41"/>
  <c r="G40"/>
  <c r="G39"/>
  <c r="G37"/>
  <c r="G36"/>
  <c r="G35"/>
  <c r="G33"/>
  <c r="G32"/>
  <c r="G30"/>
  <c r="G29"/>
  <c r="G28"/>
  <c r="G27"/>
  <c r="G26"/>
  <c r="G24"/>
  <c r="G23"/>
  <c r="G22"/>
  <c r="G21"/>
  <c r="G20"/>
  <c r="G19"/>
  <c r="G18"/>
  <c r="G16"/>
  <c r="G15"/>
  <c r="G14"/>
  <c r="G13"/>
  <c r="G12"/>
  <c r="G11"/>
  <c r="G10"/>
  <c r="L245" i="76"/>
  <c r="K245"/>
  <c r="J245"/>
  <c r="K244"/>
  <c r="J244"/>
  <c r="K104"/>
  <c r="K103"/>
  <c r="J103"/>
  <c r="D12"/>
  <c r="D11" s="1"/>
  <c r="D10" s="1"/>
  <c r="D25"/>
  <c r="D32"/>
  <c r="D44"/>
  <c r="D51"/>
  <c r="D50" s="1"/>
  <c r="D58"/>
  <c r="D64"/>
  <c r="D73"/>
  <c r="D72" s="1"/>
  <c r="D71" s="1"/>
  <c r="D88"/>
  <c r="D87" s="1"/>
  <c r="D86" s="1"/>
  <c r="D110"/>
  <c r="D116"/>
  <c r="D123"/>
  <c r="D146"/>
  <c r="D132" s="1"/>
  <c r="D150"/>
  <c r="D149" s="1"/>
  <c r="D159"/>
  <c r="D165"/>
  <c r="D179"/>
  <c r="D178" s="1"/>
  <c r="D177" s="1"/>
  <c r="D207" s="1"/>
  <c r="D192"/>
  <c r="D193"/>
  <c r="D194"/>
  <c r="D223"/>
  <c r="D224"/>
  <c r="D222" s="1"/>
  <c r="D221" s="1"/>
  <c r="D226"/>
  <c r="D227"/>
  <c r="D225" s="1"/>
  <c r="D230"/>
  <c r="D229" s="1"/>
  <c r="D231"/>
  <c r="D233"/>
  <c r="D232" s="1"/>
  <c r="D234"/>
  <c r="D242"/>
  <c r="H234"/>
  <c r="H233"/>
  <c r="H232"/>
  <c r="H226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2"/>
  <c r="H181"/>
  <c r="H174"/>
  <c r="H173"/>
  <c r="H172"/>
  <c r="H171"/>
  <c r="H170"/>
  <c r="H169"/>
  <c r="H168"/>
  <c r="H167"/>
  <c r="H166"/>
  <c r="H163"/>
  <c r="H157"/>
  <c r="H144"/>
  <c r="H143"/>
  <c r="H142"/>
  <c r="H140"/>
  <c r="H137"/>
  <c r="H133"/>
  <c r="H128"/>
  <c r="H126"/>
  <c r="H125"/>
  <c r="H124"/>
  <c r="H100"/>
  <c r="H99"/>
  <c r="H98"/>
  <c r="H97"/>
  <c r="H96"/>
  <c r="H95"/>
  <c r="H94"/>
  <c r="H93"/>
  <c r="H90"/>
  <c r="H85"/>
  <c r="H84"/>
  <c r="H83"/>
  <c r="H82"/>
  <c r="H81"/>
  <c r="H80"/>
  <c r="H79"/>
  <c r="H75"/>
  <c r="H67"/>
  <c r="H66"/>
  <c r="H65"/>
  <c r="H63"/>
  <c r="H62"/>
  <c r="H59"/>
  <c r="H55"/>
  <c r="H54"/>
  <c r="H53"/>
  <c r="H47"/>
  <c r="H46"/>
  <c r="H45"/>
  <c r="H41"/>
  <c r="H40"/>
  <c r="H28"/>
  <c r="H27"/>
  <c r="H22"/>
  <c r="H21"/>
  <c r="H20"/>
  <c r="H18"/>
  <c r="V27" i="75"/>
  <c r="V26"/>
  <c r="V25"/>
  <c r="V24"/>
  <c r="V23"/>
  <c r="V21"/>
  <c r="V20"/>
  <c r="V19"/>
  <c r="V18"/>
  <c r="V15"/>
  <c r="V14"/>
  <c r="V13"/>
  <c r="V12"/>
  <c r="V11"/>
  <c r="V10"/>
  <c r="V9"/>
  <c r="V8"/>
  <c r="V7"/>
  <c r="F27"/>
  <c r="J24" i="7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1"/>
  <c r="I11"/>
  <c r="J10"/>
  <c r="I10"/>
  <c r="J9"/>
  <c r="I9"/>
  <c r="J8"/>
  <c r="I8"/>
  <c r="H44" i="73"/>
  <c r="H45"/>
  <c r="H46"/>
  <c r="H47"/>
  <c r="H37"/>
  <c r="H38"/>
  <c r="H39"/>
  <c r="H41"/>
  <c r="H33"/>
  <c r="H31"/>
  <c r="H30"/>
  <c r="H29"/>
  <c r="H26"/>
  <c r="H25"/>
  <c r="H23"/>
  <c r="H22"/>
  <c r="H21"/>
  <c r="H20"/>
  <c r="H18"/>
  <c r="H17"/>
  <c r="H16"/>
  <c r="H14"/>
  <c r="H12"/>
  <c r="H10"/>
  <c r="L47"/>
  <c r="L46"/>
  <c r="L45"/>
  <c r="L43"/>
  <c r="L41"/>
  <c r="L39"/>
  <c r="L37"/>
  <c r="L33"/>
  <c r="L31"/>
  <c r="L30"/>
  <c r="L29"/>
  <c r="L26"/>
  <c r="L25"/>
  <c r="L23"/>
  <c r="L22"/>
  <c r="L21"/>
  <c r="L20"/>
  <c r="L18"/>
  <c r="L17"/>
  <c r="L16"/>
  <c r="L14"/>
  <c r="L12"/>
  <c r="L10"/>
  <c r="Y35" i="72"/>
  <c r="Y34"/>
  <c r="Y33"/>
  <c r="Y32"/>
  <c r="Y31"/>
  <c r="Y30"/>
  <c r="Y29"/>
  <c r="Y28"/>
  <c r="Y27"/>
  <c r="Y25"/>
  <c r="Y24"/>
  <c r="Y23"/>
  <c r="Y22"/>
  <c r="Y21"/>
  <c r="Y20"/>
  <c r="Y19"/>
  <c r="Y18"/>
  <c r="Y17"/>
  <c r="Y13"/>
  <c r="Y12"/>
  <c r="Y11"/>
  <c r="Y10"/>
  <c r="F50"/>
  <c r="F49"/>
  <c r="F48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3"/>
  <c r="F12"/>
  <c r="F11"/>
  <c r="F10"/>
  <c r="F9"/>
  <c r="F8"/>
  <c r="D215" i="76" l="1"/>
  <c r="D228"/>
  <c r="D101"/>
  <c r="D109"/>
  <c r="D176" s="1"/>
  <c r="D208" s="1"/>
  <c r="D70"/>
  <c r="Y326" i="116"/>
  <c r="AC326"/>
  <c r="X326"/>
  <c r="X325"/>
  <c r="X324"/>
  <c r="X322"/>
  <c r="Z322" s="1"/>
  <c r="X321"/>
  <c r="X320"/>
  <c r="X319"/>
  <c r="X315"/>
  <c r="X314"/>
  <c r="X313"/>
  <c r="X312"/>
  <c r="X311"/>
  <c r="AB326"/>
  <c r="AB325"/>
  <c r="AB324"/>
  <c r="AB323"/>
  <c r="AB322"/>
  <c r="AD322" s="1"/>
  <c r="AB321"/>
  <c r="AB320"/>
  <c r="AB319"/>
  <c r="AB315"/>
  <c r="AB314"/>
  <c r="AB313"/>
  <c r="AB312"/>
  <c r="AB311"/>
  <c r="J333"/>
  <c r="J335" s="1"/>
  <c r="U326"/>
  <c r="U325"/>
  <c r="U324"/>
  <c r="U323"/>
  <c r="U322"/>
  <c r="U321"/>
  <c r="U320"/>
  <c r="U319"/>
  <c r="U315"/>
  <c r="U314"/>
  <c r="U313"/>
  <c r="U312"/>
  <c r="U311"/>
  <c r="J326"/>
  <c r="J325"/>
  <c r="J324"/>
  <c r="J322"/>
  <c r="J321"/>
  <c r="J320"/>
  <c r="J319"/>
  <c r="J315"/>
  <c r="J314"/>
  <c r="J313"/>
  <c r="J312"/>
  <c r="J311"/>
  <c r="U301"/>
  <c r="U300"/>
  <c r="U299"/>
  <c r="U298"/>
  <c r="U297"/>
  <c r="U296"/>
  <c r="U295"/>
  <c r="U294"/>
  <c r="U290"/>
  <c r="U289"/>
  <c r="U288"/>
  <c r="U287"/>
  <c r="U286"/>
  <c r="J301"/>
  <c r="J300"/>
  <c r="J299"/>
  <c r="J298"/>
  <c r="J297"/>
  <c r="J296"/>
  <c r="J295"/>
  <c r="J294"/>
  <c r="J290"/>
  <c r="J289"/>
  <c r="J288"/>
  <c r="J287"/>
  <c r="J286"/>
  <c r="U276"/>
  <c r="U275"/>
  <c r="U274"/>
  <c r="U273"/>
  <c r="U272"/>
  <c r="U271"/>
  <c r="U270"/>
  <c r="U269"/>
  <c r="U265"/>
  <c r="U264"/>
  <c r="U263"/>
  <c r="U262"/>
  <c r="U261"/>
  <c r="J276"/>
  <c r="J275"/>
  <c r="J274"/>
  <c r="J273"/>
  <c r="J272"/>
  <c r="J271"/>
  <c r="J270"/>
  <c r="J269"/>
  <c r="J265"/>
  <c r="J264"/>
  <c r="J263"/>
  <c r="J262"/>
  <c r="J261"/>
  <c r="U251"/>
  <c r="U250"/>
  <c r="U249"/>
  <c r="U247"/>
  <c r="U246"/>
  <c r="U245"/>
  <c r="U244"/>
  <c r="U240"/>
  <c r="U239"/>
  <c r="U238"/>
  <c r="U237"/>
  <c r="U236"/>
  <c r="J251"/>
  <c r="J250"/>
  <c r="J249"/>
  <c r="J247"/>
  <c r="J246"/>
  <c r="J245"/>
  <c r="J244"/>
  <c r="J240"/>
  <c r="J239"/>
  <c r="J238"/>
  <c r="J237"/>
  <c r="J236"/>
  <c r="U226"/>
  <c r="U225"/>
  <c r="U224"/>
  <c r="U223"/>
  <c r="U222"/>
  <c r="U221"/>
  <c r="U220"/>
  <c r="U219"/>
  <c r="U215"/>
  <c r="U214"/>
  <c r="U213"/>
  <c r="U212"/>
  <c r="U211"/>
  <c r="J226"/>
  <c r="J225"/>
  <c r="J224"/>
  <c r="J222"/>
  <c r="J221"/>
  <c r="J220"/>
  <c r="J219"/>
  <c r="J215"/>
  <c r="J214"/>
  <c r="J213"/>
  <c r="J212"/>
  <c r="J211"/>
  <c r="J201"/>
  <c r="J200"/>
  <c r="J199"/>
  <c r="J198"/>
  <c r="J197"/>
  <c r="J196"/>
  <c r="J195"/>
  <c r="J194"/>
  <c r="J190"/>
  <c r="J189"/>
  <c r="J188"/>
  <c r="J187"/>
  <c r="J186"/>
  <c r="U201"/>
  <c r="U200"/>
  <c r="U199"/>
  <c r="U198"/>
  <c r="U197"/>
  <c r="U196"/>
  <c r="U195"/>
  <c r="U194"/>
  <c r="U190"/>
  <c r="U189"/>
  <c r="U188"/>
  <c r="U187"/>
  <c r="U186"/>
  <c r="U176"/>
  <c r="U175"/>
  <c r="U174"/>
  <c r="U173"/>
  <c r="U172"/>
  <c r="U171"/>
  <c r="U170"/>
  <c r="U169"/>
  <c r="U165"/>
  <c r="U164"/>
  <c r="U163"/>
  <c r="U162"/>
  <c r="U161"/>
  <c r="J176"/>
  <c r="J175"/>
  <c r="J174"/>
  <c r="J172"/>
  <c r="J171"/>
  <c r="J170"/>
  <c r="J169"/>
  <c r="J165"/>
  <c r="J164"/>
  <c r="J163"/>
  <c r="J162"/>
  <c r="J161"/>
  <c r="J151"/>
  <c r="J150"/>
  <c r="J149"/>
  <c r="J148"/>
  <c r="J147"/>
  <c r="J146"/>
  <c r="J145"/>
  <c r="J144"/>
  <c r="J140"/>
  <c r="J139"/>
  <c r="J138"/>
  <c r="J137"/>
  <c r="J136"/>
  <c r="U151"/>
  <c r="U150"/>
  <c r="U149"/>
  <c r="U147"/>
  <c r="U146"/>
  <c r="U145"/>
  <c r="U144"/>
  <c r="U140"/>
  <c r="U139"/>
  <c r="U138"/>
  <c r="U137"/>
  <c r="U136"/>
  <c r="U126"/>
  <c r="U125"/>
  <c r="U124"/>
  <c r="U123"/>
  <c r="U122"/>
  <c r="U121"/>
  <c r="U120"/>
  <c r="U119"/>
  <c r="U115"/>
  <c r="U114"/>
  <c r="U113"/>
  <c r="U112"/>
  <c r="U111"/>
  <c r="J126"/>
  <c r="J125"/>
  <c r="J124"/>
  <c r="J122"/>
  <c r="J121"/>
  <c r="J120"/>
  <c r="J119"/>
  <c r="J115"/>
  <c r="J114"/>
  <c r="J113"/>
  <c r="J112"/>
  <c r="J111"/>
  <c r="U101"/>
  <c r="U100"/>
  <c r="U99"/>
  <c r="U98"/>
  <c r="U97"/>
  <c r="U96"/>
  <c r="U95"/>
  <c r="U94"/>
  <c r="U90"/>
  <c r="U89"/>
  <c r="U88"/>
  <c r="U87"/>
  <c r="U86"/>
  <c r="J101"/>
  <c r="J100"/>
  <c r="J99"/>
  <c r="J98"/>
  <c r="J97"/>
  <c r="J96"/>
  <c r="J95"/>
  <c r="J94"/>
  <c r="J90"/>
  <c r="J89"/>
  <c r="J88"/>
  <c r="J87"/>
  <c r="J86"/>
  <c r="J76"/>
  <c r="J75"/>
  <c r="J74"/>
  <c r="J73"/>
  <c r="J72"/>
  <c r="J71"/>
  <c r="J70"/>
  <c r="J69"/>
  <c r="J65"/>
  <c r="J64"/>
  <c r="J63"/>
  <c r="J62"/>
  <c r="J61"/>
  <c r="U76"/>
  <c r="U75"/>
  <c r="U74"/>
  <c r="U73"/>
  <c r="U72"/>
  <c r="U71"/>
  <c r="U70"/>
  <c r="U69"/>
  <c r="U65"/>
  <c r="U64"/>
  <c r="U63"/>
  <c r="U62"/>
  <c r="U61"/>
  <c r="U51"/>
  <c r="U50"/>
  <c r="U49"/>
  <c r="U47"/>
  <c r="U46"/>
  <c r="U45"/>
  <c r="U44"/>
  <c r="U40"/>
  <c r="U39"/>
  <c r="U38"/>
  <c r="U37"/>
  <c r="U36"/>
  <c r="J51"/>
  <c r="J50"/>
  <c r="J49"/>
  <c r="J48"/>
  <c r="J47"/>
  <c r="J46"/>
  <c r="J45"/>
  <c r="J44"/>
  <c r="J40"/>
  <c r="J39"/>
  <c r="J38"/>
  <c r="J37"/>
  <c r="J36"/>
  <c r="U26"/>
  <c r="U25"/>
  <c r="U24"/>
  <c r="U23"/>
  <c r="U22"/>
  <c r="U21"/>
  <c r="U20"/>
  <c r="U19"/>
  <c r="U15"/>
  <c r="U14"/>
  <c r="U13"/>
  <c r="U12"/>
  <c r="U11"/>
  <c r="J26"/>
  <c r="J25"/>
  <c r="J24"/>
  <c r="J23"/>
  <c r="J22"/>
  <c r="J21"/>
  <c r="J20"/>
  <c r="J19"/>
  <c r="J15"/>
  <c r="J14"/>
  <c r="J13"/>
  <c r="J12"/>
  <c r="J11"/>
  <c r="F334"/>
  <c r="F333"/>
  <c r="Q326"/>
  <c r="Q325"/>
  <c r="Q324"/>
  <c r="Q323"/>
  <c r="Q322"/>
  <c r="Q321"/>
  <c r="Q320"/>
  <c r="Q319"/>
  <c r="Q315"/>
  <c r="Q314"/>
  <c r="Q313"/>
  <c r="Q312"/>
  <c r="Q311"/>
  <c r="F326"/>
  <c r="F325"/>
  <c r="F324"/>
  <c r="F322"/>
  <c r="F321"/>
  <c r="F320"/>
  <c r="F319"/>
  <c r="F315"/>
  <c r="F314"/>
  <c r="F313"/>
  <c r="F312"/>
  <c r="F311"/>
  <c r="F301"/>
  <c r="F300"/>
  <c r="F299"/>
  <c r="F298"/>
  <c r="F297"/>
  <c r="F296"/>
  <c r="F295"/>
  <c r="F294"/>
  <c r="F290"/>
  <c r="F289"/>
  <c r="F288"/>
  <c r="F287"/>
  <c r="F286"/>
  <c r="Q301"/>
  <c r="Q300"/>
  <c r="Q299"/>
  <c r="Q298"/>
  <c r="Q297"/>
  <c r="Q296"/>
  <c r="Q295"/>
  <c r="Q294"/>
  <c r="Q290"/>
  <c r="Q289"/>
  <c r="Q288"/>
  <c r="Q287"/>
  <c r="Q286"/>
  <c r="Q276"/>
  <c r="Q275"/>
  <c r="Q274"/>
  <c r="Q273"/>
  <c r="Q272"/>
  <c r="Q271"/>
  <c r="Q270"/>
  <c r="Q269"/>
  <c r="Q265"/>
  <c r="Q264"/>
  <c r="Q263"/>
  <c r="Q262"/>
  <c r="Q261"/>
  <c r="F276"/>
  <c r="F275"/>
  <c r="F274"/>
  <c r="F273"/>
  <c r="F272"/>
  <c r="F271"/>
  <c r="F270"/>
  <c r="F269"/>
  <c r="F265"/>
  <c r="F264"/>
  <c r="F263"/>
  <c r="F262"/>
  <c r="F261"/>
  <c r="F251"/>
  <c r="F250"/>
  <c r="F249"/>
  <c r="F247"/>
  <c r="F246"/>
  <c r="F245"/>
  <c r="F244"/>
  <c r="F240"/>
  <c r="F239"/>
  <c r="F238"/>
  <c r="F237"/>
  <c r="F236"/>
  <c r="Q251"/>
  <c r="Q250"/>
  <c r="Q249"/>
  <c r="Q247"/>
  <c r="Q246"/>
  <c r="Q245"/>
  <c r="Q244"/>
  <c r="Q240"/>
  <c r="Q239"/>
  <c r="Q238"/>
  <c r="Q237"/>
  <c r="Q236"/>
  <c r="Q226"/>
  <c r="Q225"/>
  <c r="Q224"/>
  <c r="Q223"/>
  <c r="Q222"/>
  <c r="Q221"/>
  <c r="Q220"/>
  <c r="Q219"/>
  <c r="Q215"/>
  <c r="Q214"/>
  <c r="Q213"/>
  <c r="Q212"/>
  <c r="Q211"/>
  <c r="F226"/>
  <c r="F225"/>
  <c r="F224"/>
  <c r="F222"/>
  <c r="F221"/>
  <c r="F220"/>
  <c r="F219"/>
  <c r="F215"/>
  <c r="F214"/>
  <c r="F213"/>
  <c r="F212"/>
  <c r="F211"/>
  <c r="Q201"/>
  <c r="Q200"/>
  <c r="Q199"/>
  <c r="Q198"/>
  <c r="Q197"/>
  <c r="Q196"/>
  <c r="Q195"/>
  <c r="Q194"/>
  <c r="Q190"/>
  <c r="Q189"/>
  <c r="Q188"/>
  <c r="Q187"/>
  <c r="Q186"/>
  <c r="F201"/>
  <c r="F200"/>
  <c r="F199"/>
  <c r="F198"/>
  <c r="F197"/>
  <c r="F196"/>
  <c r="F195"/>
  <c r="F194"/>
  <c r="F190"/>
  <c r="F189"/>
  <c r="F188"/>
  <c r="F187"/>
  <c r="F186"/>
  <c r="F176"/>
  <c r="F175"/>
  <c r="F174"/>
  <c r="F172"/>
  <c r="F171"/>
  <c r="F170"/>
  <c r="F169"/>
  <c r="F165"/>
  <c r="F164"/>
  <c r="F163"/>
  <c r="F162"/>
  <c r="F161"/>
  <c r="Q176"/>
  <c r="Q175"/>
  <c r="Q174"/>
  <c r="Q173"/>
  <c r="Q172"/>
  <c r="Q171"/>
  <c r="Q170"/>
  <c r="Q169"/>
  <c r="Q165"/>
  <c r="Q164"/>
  <c r="Q163"/>
  <c r="Q162"/>
  <c r="Q161"/>
  <c r="Q151"/>
  <c r="Q150"/>
  <c r="Q149"/>
  <c r="Q147"/>
  <c r="Q146"/>
  <c r="Q145"/>
  <c r="Q144"/>
  <c r="Q140"/>
  <c r="Q139"/>
  <c r="Q138"/>
  <c r="Q137"/>
  <c r="Q136"/>
  <c r="F151"/>
  <c r="F150"/>
  <c r="F149"/>
  <c r="F148"/>
  <c r="F147"/>
  <c r="F146"/>
  <c r="F145"/>
  <c r="F144"/>
  <c r="F140"/>
  <c r="F139"/>
  <c r="F138"/>
  <c r="F137"/>
  <c r="F136"/>
  <c r="F126"/>
  <c r="F125"/>
  <c r="F124"/>
  <c r="F122"/>
  <c r="F121"/>
  <c r="F120"/>
  <c r="F119"/>
  <c r="F115"/>
  <c r="F114"/>
  <c r="F113"/>
  <c r="F112"/>
  <c r="F111"/>
  <c r="Q126"/>
  <c r="Q125"/>
  <c r="Q124"/>
  <c r="Q123"/>
  <c r="Q122"/>
  <c r="Q121"/>
  <c r="Q120"/>
  <c r="Q119"/>
  <c r="Q115"/>
  <c r="Q114"/>
  <c r="Q113"/>
  <c r="Q112"/>
  <c r="Q111"/>
  <c r="Q101"/>
  <c r="Q100"/>
  <c r="Q99"/>
  <c r="Q98"/>
  <c r="Q97"/>
  <c r="Q96"/>
  <c r="Q95"/>
  <c r="Q94"/>
  <c r="Q90"/>
  <c r="Q89"/>
  <c r="Q88"/>
  <c r="Q87"/>
  <c r="Q86"/>
  <c r="F101"/>
  <c r="F100"/>
  <c r="F99"/>
  <c r="F98"/>
  <c r="F97"/>
  <c r="F96"/>
  <c r="F95"/>
  <c r="F94"/>
  <c r="F90"/>
  <c r="F89"/>
  <c r="F88"/>
  <c r="F87"/>
  <c r="F86"/>
  <c r="F76"/>
  <c r="F75"/>
  <c r="F74"/>
  <c r="F73"/>
  <c r="F72"/>
  <c r="F71"/>
  <c r="F70"/>
  <c r="F69"/>
  <c r="F65"/>
  <c r="F64"/>
  <c r="F63"/>
  <c r="F62"/>
  <c r="F61"/>
  <c r="Q76"/>
  <c r="Q75"/>
  <c r="Q74"/>
  <c r="Q73"/>
  <c r="Q72"/>
  <c r="Q71"/>
  <c r="Q70"/>
  <c r="Q69"/>
  <c r="Q65"/>
  <c r="Q64"/>
  <c r="Q63"/>
  <c r="Q62"/>
  <c r="Q61"/>
  <c r="Q51"/>
  <c r="Q50"/>
  <c r="Q49"/>
  <c r="Q47"/>
  <c r="Q46"/>
  <c r="Q45"/>
  <c r="Q44"/>
  <c r="Q40"/>
  <c r="Q39"/>
  <c r="Q38"/>
  <c r="Q37"/>
  <c r="Q36"/>
  <c r="F51"/>
  <c r="F50"/>
  <c r="F49"/>
  <c r="F48"/>
  <c r="F47"/>
  <c r="F46"/>
  <c r="F45"/>
  <c r="F44"/>
  <c r="F40"/>
  <c r="F39"/>
  <c r="F38"/>
  <c r="F37"/>
  <c r="F36"/>
  <c r="Q26"/>
  <c r="Q25"/>
  <c r="Q24"/>
  <c r="Q23"/>
  <c r="Q22"/>
  <c r="Q21"/>
  <c r="Q20"/>
  <c r="Q19"/>
  <c r="Q15"/>
  <c r="Q14"/>
  <c r="Q13"/>
  <c r="Q12"/>
  <c r="Q11"/>
  <c r="F26"/>
  <c r="F25"/>
  <c r="F24"/>
  <c r="F23"/>
  <c r="F22"/>
  <c r="F21"/>
  <c r="F20"/>
  <c r="F19"/>
  <c r="F15"/>
  <c r="F14"/>
  <c r="F13"/>
  <c r="F12"/>
  <c r="F11"/>
  <c r="L84" i="70"/>
  <c r="N82"/>
  <c r="L82"/>
  <c r="N69"/>
  <c r="L69"/>
  <c r="N60"/>
  <c r="L60"/>
  <c r="N52"/>
  <c r="L52"/>
  <c r="N42"/>
  <c r="L42"/>
  <c r="N33"/>
  <c r="L33"/>
  <c r="N21"/>
  <c r="L21"/>
  <c r="F81"/>
  <c r="F79"/>
  <c r="E64"/>
  <c r="E63"/>
  <c r="E57"/>
  <c r="E47"/>
  <c r="E46"/>
  <c r="E45"/>
  <c r="E37"/>
  <c r="E36"/>
  <c r="D30"/>
  <c r="F29"/>
  <c r="I81"/>
  <c r="I79"/>
  <c r="I68"/>
  <c r="I66"/>
  <c r="I64"/>
  <c r="I63"/>
  <c r="I59"/>
  <c r="I57"/>
  <c r="I55"/>
  <c r="I51"/>
  <c r="I49"/>
  <c r="I47"/>
  <c r="I46"/>
  <c r="I45"/>
  <c r="I41"/>
  <c r="I39"/>
  <c r="I37"/>
  <c r="I36"/>
  <c r="I32"/>
  <c r="I30"/>
  <c r="I29"/>
  <c r="I27"/>
  <c r="I26"/>
  <c r="I25"/>
  <c r="I24"/>
  <c r="I20"/>
  <c r="I18"/>
  <c r="I16"/>
  <c r="I15"/>
  <c r="I14"/>
  <c r="I12"/>
  <c r="I11"/>
  <c r="I10"/>
  <c r="H28"/>
  <c r="I28" s="1"/>
  <c r="E28"/>
  <c r="C28"/>
  <c r="B28"/>
  <c r="F27"/>
  <c r="G27" s="1"/>
  <c r="K27" s="1"/>
  <c r="F26"/>
  <c r="G26" s="1"/>
  <c r="K26" s="1"/>
  <c r="F25"/>
  <c r="G25" s="1"/>
  <c r="K25" s="1"/>
  <c r="D24"/>
  <c r="G24" s="1"/>
  <c r="K24" s="1"/>
  <c r="H23"/>
  <c r="E23"/>
  <c r="C23"/>
  <c r="B23"/>
  <c r="H17"/>
  <c r="I17" s="1"/>
  <c r="F17"/>
  <c r="E17"/>
  <c r="D17"/>
  <c r="C17"/>
  <c r="B17"/>
  <c r="F16"/>
  <c r="G16" s="1"/>
  <c r="K16" s="1"/>
  <c r="F15"/>
  <c r="G15" s="1"/>
  <c r="K15" s="1"/>
  <c r="F14"/>
  <c r="G14" s="1"/>
  <c r="K14" s="1"/>
  <c r="I13"/>
  <c r="F13"/>
  <c r="G13" s="1"/>
  <c r="K13" s="1"/>
  <c r="F12"/>
  <c r="G12" s="1"/>
  <c r="K12" s="1"/>
  <c r="F11"/>
  <c r="G10"/>
  <c r="K10" s="1"/>
  <c r="D10"/>
  <c r="N38" i="69"/>
  <c r="N32"/>
  <c r="N31"/>
  <c r="N30"/>
  <c r="N29"/>
  <c r="N28"/>
  <c r="N27"/>
  <c r="N26"/>
  <c r="N25"/>
  <c r="N24"/>
  <c r="N23"/>
  <c r="N22"/>
  <c r="N21"/>
  <c r="N20"/>
  <c r="N19"/>
  <c r="N18"/>
  <c r="F38"/>
  <c r="F32"/>
  <c r="F31"/>
  <c r="F30"/>
  <c r="F29"/>
  <c r="F28"/>
  <c r="F27"/>
  <c r="F26"/>
  <c r="F25"/>
  <c r="F22"/>
  <c r="N32" i="68"/>
  <c r="N31"/>
  <c r="N30"/>
  <c r="N29"/>
  <c r="N28"/>
  <c r="N27"/>
  <c r="N26"/>
  <c r="N25"/>
  <c r="N23"/>
  <c r="N22"/>
  <c r="F32"/>
  <c r="F31"/>
  <c r="F30"/>
  <c r="F29"/>
  <c r="F28"/>
  <c r="F27"/>
  <c r="F26"/>
  <c r="F22"/>
  <c r="AD326" i="116" l="1"/>
  <c r="G11" i="70"/>
  <c r="F9"/>
  <c r="D23"/>
  <c r="I23"/>
  <c r="D245" i="76"/>
  <c r="D220"/>
  <c r="D102"/>
  <c r="D214"/>
  <c r="Z326" i="116"/>
  <c r="U127"/>
  <c r="U110" s="1"/>
  <c r="U116" s="1"/>
  <c r="J52"/>
  <c r="J35" s="1"/>
  <c r="J41" s="1"/>
  <c r="U227"/>
  <c r="U210" s="1"/>
  <c r="U216" s="1"/>
  <c r="U327"/>
  <c r="U310" s="1"/>
  <c r="U316" s="1"/>
  <c r="J152"/>
  <c r="J135" s="1"/>
  <c r="J141" s="1"/>
  <c r="J102"/>
  <c r="J85" s="1"/>
  <c r="J91" s="1"/>
  <c r="U202"/>
  <c r="U185" s="1"/>
  <c r="U191" s="1"/>
  <c r="J302"/>
  <c r="J285" s="1"/>
  <c r="J291" s="1"/>
  <c r="U27"/>
  <c r="U10" s="1"/>
  <c r="U16" s="1"/>
  <c r="U77"/>
  <c r="U60" s="1"/>
  <c r="U66" s="1"/>
  <c r="J277"/>
  <c r="J260" s="1"/>
  <c r="J266" s="1"/>
  <c r="U102"/>
  <c r="U85" s="1"/>
  <c r="U91" s="1"/>
  <c r="J202"/>
  <c r="J185" s="1"/>
  <c r="J191" s="1"/>
  <c r="U302"/>
  <c r="U285" s="1"/>
  <c r="U291" s="1"/>
  <c r="F335"/>
  <c r="J77"/>
  <c r="J60" s="1"/>
  <c r="J66" s="1"/>
  <c r="U177"/>
  <c r="U160" s="1"/>
  <c r="U166" s="1"/>
  <c r="U277"/>
  <c r="U260" s="1"/>
  <c r="U266" s="1"/>
  <c r="J27"/>
  <c r="J10" s="1"/>
  <c r="J16" s="1"/>
  <c r="G23" i="70"/>
  <c r="K23" s="1"/>
  <c r="F23"/>
  <c r="I9"/>
  <c r="K11" l="1"/>
  <c r="G9"/>
  <c r="K9" s="1"/>
  <c r="D244" i="76"/>
  <c r="D213"/>
  <c r="F241" i="109" l="1"/>
  <c r="F240"/>
  <c r="F239"/>
  <c r="F234"/>
  <c r="F233"/>
  <c r="F232"/>
  <c r="F230"/>
  <c r="F227"/>
  <c r="F226"/>
  <c r="F225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5"/>
  <c r="F174"/>
  <c r="F173"/>
  <c r="F172"/>
  <c r="F171"/>
  <c r="F170"/>
  <c r="F169"/>
  <c r="F168"/>
  <c r="F167"/>
  <c r="F166"/>
  <c r="F165"/>
  <c r="F164"/>
  <c r="F163"/>
  <c r="F162"/>
  <c r="F161"/>
  <c r="F160"/>
  <c r="F158"/>
  <c r="F157"/>
  <c r="F156"/>
  <c r="F155"/>
  <c r="F154"/>
  <c r="F153"/>
  <c r="F152"/>
  <c r="F151"/>
  <c r="F148"/>
  <c r="F147"/>
  <c r="F146"/>
  <c r="F145"/>
  <c r="F144"/>
  <c r="F143"/>
  <c r="F142"/>
  <c r="F141"/>
  <c r="F140"/>
  <c r="F139"/>
  <c r="F138"/>
  <c r="F137"/>
  <c r="F136"/>
  <c r="F135"/>
  <c r="F134"/>
  <c r="F133"/>
  <c r="F131"/>
  <c r="F130"/>
  <c r="F129"/>
  <c r="F128"/>
  <c r="F127"/>
  <c r="F126"/>
  <c r="F125"/>
  <c r="F124"/>
  <c r="F123"/>
  <c r="F122"/>
  <c r="F121"/>
  <c r="F120"/>
  <c r="F119"/>
  <c r="F118"/>
  <c r="F117"/>
  <c r="F115"/>
  <c r="F114"/>
  <c r="F113"/>
  <c r="F112"/>
  <c r="F111"/>
  <c r="F100"/>
  <c r="F99"/>
  <c r="F98"/>
  <c r="F97"/>
  <c r="F96"/>
  <c r="F95"/>
  <c r="F93"/>
  <c r="F92"/>
  <c r="F91"/>
  <c r="F90"/>
  <c r="F89"/>
  <c r="F85"/>
  <c r="F84"/>
  <c r="F83"/>
  <c r="F82"/>
  <c r="F81"/>
  <c r="F80"/>
  <c r="F78"/>
  <c r="F77"/>
  <c r="F76"/>
  <c r="F75"/>
  <c r="F74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K241"/>
  <c r="K240"/>
  <c r="K239"/>
  <c r="K234"/>
  <c r="K233"/>
  <c r="K232"/>
  <c r="K230"/>
  <c r="K227"/>
  <c r="K226"/>
  <c r="K225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5"/>
  <c r="K174"/>
  <c r="K173"/>
  <c r="K172"/>
  <c r="K171"/>
  <c r="K170"/>
  <c r="K169"/>
  <c r="K168"/>
  <c r="K167"/>
  <c r="K166"/>
  <c r="K165"/>
  <c r="K164"/>
  <c r="K163"/>
  <c r="K162"/>
  <c r="K161"/>
  <c r="K160"/>
  <c r="K158"/>
  <c r="K157"/>
  <c r="K156"/>
  <c r="K155"/>
  <c r="K154"/>
  <c r="K153"/>
  <c r="K152"/>
  <c r="K151"/>
  <c r="K148"/>
  <c r="K147"/>
  <c r="K146"/>
  <c r="K145"/>
  <c r="K144"/>
  <c r="K143"/>
  <c r="K142"/>
  <c r="K141"/>
  <c r="K140"/>
  <c r="K139"/>
  <c r="K138"/>
  <c r="K137"/>
  <c r="K136"/>
  <c r="K135"/>
  <c r="K134"/>
  <c r="K133"/>
  <c r="K131"/>
  <c r="K130"/>
  <c r="K129"/>
  <c r="K128"/>
  <c r="K127"/>
  <c r="K126"/>
  <c r="K125"/>
  <c r="K124"/>
  <c r="K123"/>
  <c r="K122"/>
  <c r="K121"/>
  <c r="K120"/>
  <c r="K119"/>
  <c r="K118"/>
  <c r="K117"/>
  <c r="K115"/>
  <c r="K114"/>
  <c r="K113"/>
  <c r="K112"/>
  <c r="K111"/>
  <c r="K100"/>
  <c r="K99"/>
  <c r="K98"/>
  <c r="K97"/>
  <c r="K96"/>
  <c r="K95"/>
  <c r="K93"/>
  <c r="K92"/>
  <c r="K91"/>
  <c r="K90"/>
  <c r="K89"/>
  <c r="K85"/>
  <c r="K84"/>
  <c r="K83"/>
  <c r="K82"/>
  <c r="K81"/>
  <c r="K80"/>
  <c r="K78"/>
  <c r="K77"/>
  <c r="K76"/>
  <c r="K75"/>
  <c r="K74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F241" i="97"/>
  <c r="F240"/>
  <c r="F239"/>
  <c r="F234"/>
  <c r="F233"/>
  <c r="F232"/>
  <c r="F230"/>
  <c r="F227"/>
  <c r="F226"/>
  <c r="F225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48"/>
  <c r="F147"/>
  <c r="F146"/>
  <c r="F145"/>
  <c r="F144"/>
  <c r="F143"/>
  <c r="F142"/>
  <c r="F141"/>
  <c r="F140"/>
  <c r="F139"/>
  <c r="F138"/>
  <c r="F137"/>
  <c r="F136"/>
  <c r="F135"/>
  <c r="F134"/>
  <c r="F133"/>
  <c r="F131"/>
  <c r="F130"/>
  <c r="F129"/>
  <c r="F128"/>
  <c r="F127"/>
  <c r="F126"/>
  <c r="F125"/>
  <c r="F124"/>
  <c r="F123"/>
  <c r="F122"/>
  <c r="F121"/>
  <c r="F120"/>
  <c r="F119"/>
  <c r="F118"/>
  <c r="F117"/>
  <c r="F115"/>
  <c r="F114"/>
  <c r="F113"/>
  <c r="F112"/>
  <c r="F111"/>
  <c r="F100"/>
  <c r="F99"/>
  <c r="F98"/>
  <c r="F97"/>
  <c r="F96"/>
  <c r="F95"/>
  <c r="F93"/>
  <c r="F92"/>
  <c r="F91"/>
  <c r="F90"/>
  <c r="F89"/>
  <c r="F85"/>
  <c r="F84"/>
  <c r="F83"/>
  <c r="F82"/>
  <c r="F81"/>
  <c r="F80"/>
  <c r="F78"/>
  <c r="F77"/>
  <c r="F76"/>
  <c r="F75"/>
  <c r="F74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4"/>
  <c r="F23"/>
  <c r="F22"/>
  <c r="F21"/>
  <c r="F20"/>
  <c r="F19"/>
  <c r="F18"/>
  <c r="F17"/>
  <c r="F16"/>
  <c r="F15"/>
  <c r="F14"/>
  <c r="F13"/>
  <c r="F12"/>
  <c r="K241"/>
  <c r="K240"/>
  <c r="K239"/>
  <c r="K234"/>
  <c r="K233"/>
  <c r="K232"/>
  <c r="K230"/>
  <c r="K227"/>
  <c r="K226"/>
  <c r="K225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48"/>
  <c r="K147"/>
  <c r="K146"/>
  <c r="K145"/>
  <c r="K144"/>
  <c r="K143"/>
  <c r="K142"/>
  <c r="K141"/>
  <c r="K140"/>
  <c r="K139"/>
  <c r="K138"/>
  <c r="K137"/>
  <c r="K136"/>
  <c r="K135"/>
  <c r="K134"/>
  <c r="K133"/>
  <c r="K131"/>
  <c r="K130"/>
  <c r="K129"/>
  <c r="K128"/>
  <c r="K127"/>
  <c r="K126"/>
  <c r="K125"/>
  <c r="K124"/>
  <c r="K123"/>
  <c r="K122"/>
  <c r="K121"/>
  <c r="K120"/>
  <c r="K119"/>
  <c r="K118"/>
  <c r="K117"/>
  <c r="K115"/>
  <c r="K114"/>
  <c r="K113"/>
  <c r="K112"/>
  <c r="K111"/>
  <c r="K100"/>
  <c r="K99"/>
  <c r="K98"/>
  <c r="K97"/>
  <c r="K96"/>
  <c r="K95"/>
  <c r="K93"/>
  <c r="K92"/>
  <c r="K91"/>
  <c r="K90"/>
  <c r="K89"/>
  <c r="K85"/>
  <c r="K84"/>
  <c r="K83"/>
  <c r="K82"/>
  <c r="K81"/>
  <c r="K80"/>
  <c r="K78"/>
  <c r="K77"/>
  <c r="K76"/>
  <c r="K75"/>
  <c r="K74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4"/>
  <c r="K23"/>
  <c r="K22"/>
  <c r="K21"/>
  <c r="K20"/>
  <c r="K19"/>
  <c r="K18"/>
  <c r="K17"/>
  <c r="K16"/>
  <c r="K15"/>
  <c r="K14"/>
  <c r="K13"/>
  <c r="K12"/>
  <c r="F241" i="67"/>
  <c r="F240"/>
  <c r="F239"/>
  <c r="F234"/>
  <c r="F233"/>
  <c r="F232"/>
  <c r="F230"/>
  <c r="F227"/>
  <c r="F226"/>
  <c r="F225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48"/>
  <c r="F147"/>
  <c r="F146"/>
  <c r="F145"/>
  <c r="F144"/>
  <c r="F143"/>
  <c r="F142"/>
  <c r="F141"/>
  <c r="F140"/>
  <c r="F139"/>
  <c r="F138"/>
  <c r="F137"/>
  <c r="F136"/>
  <c r="F135"/>
  <c r="F134"/>
  <c r="F133"/>
  <c r="F131"/>
  <c r="F130"/>
  <c r="F129"/>
  <c r="F128"/>
  <c r="F127"/>
  <c r="F126"/>
  <c r="F125"/>
  <c r="F124"/>
  <c r="F123"/>
  <c r="F122"/>
  <c r="F121"/>
  <c r="F120"/>
  <c r="F119"/>
  <c r="F118"/>
  <c r="F117"/>
  <c r="F115"/>
  <c r="F114"/>
  <c r="F113"/>
  <c r="F112"/>
  <c r="F111"/>
  <c r="F100"/>
  <c r="F99"/>
  <c r="F98"/>
  <c r="F97"/>
  <c r="F96"/>
  <c r="F95"/>
  <c r="F93"/>
  <c r="F92"/>
  <c r="F91"/>
  <c r="F90"/>
  <c r="F89"/>
  <c r="F85"/>
  <c r="F84"/>
  <c r="F83"/>
  <c r="F82"/>
  <c r="F81"/>
  <c r="F80"/>
  <c r="F78"/>
  <c r="F77"/>
  <c r="F76"/>
  <c r="F75"/>
  <c r="F74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3"/>
  <c r="F42"/>
  <c r="F41"/>
  <c r="F40"/>
  <c r="F39"/>
  <c r="F38"/>
  <c r="F37"/>
  <c r="F36"/>
  <c r="F35"/>
  <c r="F34"/>
  <c r="F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K241"/>
  <c r="K240"/>
  <c r="K239"/>
  <c r="K234"/>
  <c r="K233"/>
  <c r="K232"/>
  <c r="K230"/>
  <c r="K227"/>
  <c r="K226"/>
  <c r="K225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48"/>
  <c r="K147"/>
  <c r="K146"/>
  <c r="K145"/>
  <c r="K144"/>
  <c r="K143"/>
  <c r="K142"/>
  <c r="K141"/>
  <c r="K140"/>
  <c r="K139"/>
  <c r="K138"/>
  <c r="K137"/>
  <c r="K136"/>
  <c r="K135"/>
  <c r="K134"/>
  <c r="K133"/>
  <c r="K131"/>
  <c r="K130"/>
  <c r="K129"/>
  <c r="K128"/>
  <c r="K127"/>
  <c r="K126"/>
  <c r="K125"/>
  <c r="K124"/>
  <c r="K123"/>
  <c r="K122"/>
  <c r="K121"/>
  <c r="K120"/>
  <c r="K119"/>
  <c r="K118"/>
  <c r="K117"/>
  <c r="K115"/>
  <c r="K114"/>
  <c r="K113"/>
  <c r="K112"/>
  <c r="K111"/>
  <c r="K100"/>
  <c r="K99"/>
  <c r="K98"/>
  <c r="K97"/>
  <c r="K96"/>
  <c r="K95"/>
  <c r="K93"/>
  <c r="K92"/>
  <c r="K91"/>
  <c r="K90"/>
  <c r="K89"/>
  <c r="K85"/>
  <c r="K84"/>
  <c r="K83"/>
  <c r="K82"/>
  <c r="K81"/>
  <c r="K80"/>
  <c r="K78"/>
  <c r="K77"/>
  <c r="K76"/>
  <c r="K75"/>
  <c r="K74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3"/>
  <c r="K42"/>
  <c r="K41"/>
  <c r="K40"/>
  <c r="K39"/>
  <c r="K38"/>
  <c r="K37"/>
  <c r="K36"/>
  <c r="K35"/>
  <c r="K34"/>
  <c r="K33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241" i="66"/>
  <c r="K240"/>
  <c r="K239"/>
  <c r="K234"/>
  <c r="K233"/>
  <c r="K232"/>
  <c r="K230"/>
  <c r="K227"/>
  <c r="K226"/>
  <c r="K225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48"/>
  <c r="K147"/>
  <c r="K146"/>
  <c r="K145"/>
  <c r="K144"/>
  <c r="K143"/>
  <c r="K142"/>
  <c r="K141"/>
  <c r="K140"/>
  <c r="K139"/>
  <c r="K138"/>
  <c r="K137"/>
  <c r="K136"/>
  <c r="K135"/>
  <c r="K134"/>
  <c r="K133"/>
  <c r="K131"/>
  <c r="K130"/>
  <c r="K129"/>
  <c r="K128"/>
  <c r="K127"/>
  <c r="K126"/>
  <c r="K125"/>
  <c r="K124"/>
  <c r="K123"/>
  <c r="K122"/>
  <c r="K121"/>
  <c r="K120"/>
  <c r="K119"/>
  <c r="K118"/>
  <c r="K117"/>
  <c r="K115"/>
  <c r="K114"/>
  <c r="K113"/>
  <c r="K112"/>
  <c r="K111"/>
  <c r="K100"/>
  <c r="K99"/>
  <c r="K98"/>
  <c r="K97"/>
  <c r="K96"/>
  <c r="K95"/>
  <c r="K93"/>
  <c r="K92"/>
  <c r="K91"/>
  <c r="K90"/>
  <c r="K89"/>
  <c r="K85"/>
  <c r="K84"/>
  <c r="K83"/>
  <c r="K82"/>
  <c r="K81"/>
  <c r="K80"/>
  <c r="K78"/>
  <c r="K77"/>
  <c r="K76"/>
  <c r="K75"/>
  <c r="K74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F241"/>
  <c r="F240"/>
  <c r="F239"/>
  <c r="F234"/>
  <c r="F233"/>
  <c r="F232"/>
  <c r="F230"/>
  <c r="F227"/>
  <c r="F226"/>
  <c r="F225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48"/>
  <c r="F147"/>
  <c r="F146"/>
  <c r="F145"/>
  <c r="F144"/>
  <c r="F143"/>
  <c r="F142"/>
  <c r="F141"/>
  <c r="F140"/>
  <c r="F139"/>
  <c r="F138"/>
  <c r="F137"/>
  <c r="F136"/>
  <c r="F135"/>
  <c r="F134"/>
  <c r="F133"/>
  <c r="F131"/>
  <c r="F130"/>
  <c r="F129"/>
  <c r="F128"/>
  <c r="F127"/>
  <c r="F126"/>
  <c r="F125"/>
  <c r="F124"/>
  <c r="F123"/>
  <c r="F122"/>
  <c r="F121"/>
  <c r="F120"/>
  <c r="F119"/>
  <c r="F118"/>
  <c r="F117"/>
  <c r="F115"/>
  <c r="F114"/>
  <c r="F113"/>
  <c r="F112"/>
  <c r="F111"/>
  <c r="F100"/>
  <c r="F99"/>
  <c r="F98"/>
  <c r="F97"/>
  <c r="F96"/>
  <c r="F95"/>
  <c r="F93"/>
  <c r="F92"/>
  <c r="F91"/>
  <c r="F90"/>
  <c r="F89"/>
  <c r="F85"/>
  <c r="F84"/>
  <c r="F83"/>
  <c r="F82"/>
  <c r="F81"/>
  <c r="F80"/>
  <c r="F78"/>
  <c r="F77"/>
  <c r="F76"/>
  <c r="F75"/>
  <c r="F74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241" i="65"/>
  <c r="F240"/>
  <c r="F239"/>
  <c r="F234"/>
  <c r="F233"/>
  <c r="F232"/>
  <c r="F230"/>
  <c r="F227"/>
  <c r="F226"/>
  <c r="F225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48"/>
  <c r="F147"/>
  <c r="F146"/>
  <c r="F145"/>
  <c r="F144"/>
  <c r="F143"/>
  <c r="F142"/>
  <c r="F141"/>
  <c r="F140"/>
  <c r="F139"/>
  <c r="F138"/>
  <c r="F137"/>
  <c r="F136"/>
  <c r="F135"/>
  <c r="F134"/>
  <c r="F133"/>
  <c r="F131"/>
  <c r="F130"/>
  <c r="F129"/>
  <c r="F128"/>
  <c r="F127"/>
  <c r="F126"/>
  <c r="F125"/>
  <c r="F124"/>
  <c r="F123"/>
  <c r="F122"/>
  <c r="F121"/>
  <c r="F120"/>
  <c r="F119"/>
  <c r="F118"/>
  <c r="F117"/>
  <c r="F115"/>
  <c r="F114"/>
  <c r="F113"/>
  <c r="F112"/>
  <c r="F111"/>
  <c r="F100"/>
  <c r="F99"/>
  <c r="F98"/>
  <c r="F97"/>
  <c r="F96"/>
  <c r="F95"/>
  <c r="F93"/>
  <c r="F92"/>
  <c r="F91"/>
  <c r="F90"/>
  <c r="F89"/>
  <c r="F85"/>
  <c r="F84"/>
  <c r="F83"/>
  <c r="F82"/>
  <c r="F81"/>
  <c r="F80"/>
  <c r="F78"/>
  <c r="F77"/>
  <c r="F76"/>
  <c r="F75"/>
  <c r="F74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1"/>
  <c r="F30"/>
  <c r="F29"/>
  <c r="F28"/>
  <c r="F27"/>
  <c r="F26"/>
  <c r="F24"/>
  <c r="F23"/>
  <c r="F22"/>
  <c r="F21"/>
  <c r="F20"/>
  <c r="F19"/>
  <c r="F18"/>
  <c r="F17"/>
  <c r="F16"/>
  <c r="F15"/>
  <c r="F14"/>
  <c r="F13"/>
  <c r="F12"/>
  <c r="K241"/>
  <c r="K240"/>
  <c r="K239"/>
  <c r="K234"/>
  <c r="K233"/>
  <c r="K232"/>
  <c r="K230"/>
  <c r="K227"/>
  <c r="K226"/>
  <c r="K225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48"/>
  <c r="K147"/>
  <c r="K146"/>
  <c r="K145"/>
  <c r="K144"/>
  <c r="K143"/>
  <c r="K142"/>
  <c r="K141"/>
  <c r="K140"/>
  <c r="K139"/>
  <c r="K138"/>
  <c r="K137"/>
  <c r="K136"/>
  <c r="K135"/>
  <c r="K134"/>
  <c r="K133"/>
  <c r="K131"/>
  <c r="K130"/>
  <c r="K129"/>
  <c r="K128"/>
  <c r="K127"/>
  <c r="K126"/>
  <c r="K125"/>
  <c r="K124"/>
  <c r="K123"/>
  <c r="K122"/>
  <c r="K121"/>
  <c r="K120"/>
  <c r="K119"/>
  <c r="K118"/>
  <c r="K117"/>
  <c r="K115"/>
  <c r="K114"/>
  <c r="K113"/>
  <c r="K112"/>
  <c r="K111"/>
  <c r="K100"/>
  <c r="K99"/>
  <c r="K98"/>
  <c r="K97"/>
  <c r="K96"/>
  <c r="K95"/>
  <c r="K93"/>
  <c r="K92"/>
  <c r="K91"/>
  <c r="K90"/>
  <c r="K89"/>
  <c r="K85"/>
  <c r="K84"/>
  <c r="K83"/>
  <c r="K82"/>
  <c r="K81"/>
  <c r="K80"/>
  <c r="K78"/>
  <c r="K77"/>
  <c r="K76"/>
  <c r="K75"/>
  <c r="K74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241" i="64"/>
  <c r="K240"/>
  <c r="K239"/>
  <c r="K233"/>
  <c r="K226"/>
  <c r="K206"/>
  <c r="K205"/>
  <c r="K204"/>
  <c r="K203"/>
  <c r="K202"/>
  <c r="K201"/>
  <c r="K200"/>
  <c r="K198"/>
  <c r="K197"/>
  <c r="K196"/>
  <c r="K195"/>
  <c r="K191"/>
  <c r="K190"/>
  <c r="K189"/>
  <c r="K188"/>
  <c r="K187"/>
  <c r="K186"/>
  <c r="K185"/>
  <c r="K183"/>
  <c r="K182"/>
  <c r="K181"/>
  <c r="K180"/>
  <c r="K175"/>
  <c r="K174"/>
  <c r="K173"/>
  <c r="K172"/>
  <c r="K171"/>
  <c r="K170"/>
  <c r="K169"/>
  <c r="K168"/>
  <c r="K167"/>
  <c r="K166"/>
  <c r="K164"/>
  <c r="K163"/>
  <c r="K162"/>
  <c r="K161"/>
  <c r="K160"/>
  <c r="K158"/>
  <c r="K157"/>
  <c r="K156"/>
  <c r="K155"/>
  <c r="K154"/>
  <c r="K153"/>
  <c r="K152"/>
  <c r="K151"/>
  <c r="K148"/>
  <c r="K147"/>
  <c r="K145"/>
  <c r="K144"/>
  <c r="K143"/>
  <c r="K142"/>
  <c r="K141"/>
  <c r="K140"/>
  <c r="K139"/>
  <c r="K138"/>
  <c r="K137"/>
  <c r="K136"/>
  <c r="K135"/>
  <c r="K134"/>
  <c r="K133"/>
  <c r="K131"/>
  <c r="K130"/>
  <c r="K129"/>
  <c r="K128"/>
  <c r="K127"/>
  <c r="K126"/>
  <c r="K125"/>
  <c r="K124"/>
  <c r="K122"/>
  <c r="K121"/>
  <c r="K120"/>
  <c r="K119"/>
  <c r="K118"/>
  <c r="K117"/>
  <c r="K115"/>
  <c r="K114"/>
  <c r="K113"/>
  <c r="K112"/>
  <c r="K111"/>
  <c r="K100"/>
  <c r="K99"/>
  <c r="K98"/>
  <c r="K97"/>
  <c r="K96"/>
  <c r="K95"/>
  <c r="K94"/>
  <c r="K93"/>
  <c r="K92"/>
  <c r="K91"/>
  <c r="K90"/>
  <c r="K89"/>
  <c r="K85"/>
  <c r="K84"/>
  <c r="K83"/>
  <c r="K82"/>
  <c r="K81"/>
  <c r="K80"/>
  <c r="K79"/>
  <c r="K78"/>
  <c r="K77"/>
  <c r="K76"/>
  <c r="K75"/>
  <c r="K74"/>
  <c r="K69"/>
  <c r="K68"/>
  <c r="K67"/>
  <c r="K66"/>
  <c r="K65"/>
  <c r="K63"/>
  <c r="K62"/>
  <c r="K61"/>
  <c r="K60"/>
  <c r="K59"/>
  <c r="K57"/>
  <c r="K56"/>
  <c r="K55"/>
  <c r="K54"/>
  <c r="K53"/>
  <c r="K52"/>
  <c r="K49"/>
  <c r="K48"/>
  <c r="K47"/>
  <c r="K46"/>
  <c r="K45"/>
  <c r="K43"/>
  <c r="K42"/>
  <c r="K41"/>
  <c r="K40"/>
  <c r="K39"/>
  <c r="K38"/>
  <c r="K37"/>
  <c r="K36"/>
  <c r="K35"/>
  <c r="K34"/>
  <c r="K33"/>
  <c r="K31"/>
  <c r="K30"/>
  <c r="K29"/>
  <c r="K28"/>
  <c r="K27"/>
  <c r="K26"/>
  <c r="K24"/>
  <c r="K23"/>
  <c r="K22"/>
  <c r="K21"/>
  <c r="K20"/>
  <c r="K19"/>
  <c r="K18"/>
  <c r="K17"/>
  <c r="K16"/>
  <c r="K15"/>
  <c r="K14"/>
  <c r="K13"/>
  <c r="F241"/>
  <c r="F240"/>
  <c r="F239"/>
  <c r="F233"/>
  <c r="F226"/>
  <c r="F206"/>
  <c r="F205"/>
  <c r="F204"/>
  <c r="F203"/>
  <c r="F202"/>
  <c r="F201"/>
  <c r="F200"/>
  <c r="F198"/>
  <c r="F197"/>
  <c r="F196"/>
  <c r="F195"/>
  <c r="F191"/>
  <c r="F190"/>
  <c r="F189"/>
  <c r="F188"/>
  <c r="F187"/>
  <c r="F186"/>
  <c r="F185"/>
  <c r="F183"/>
  <c r="F182"/>
  <c r="F181"/>
  <c r="F180"/>
  <c r="F175"/>
  <c r="F174"/>
  <c r="F173"/>
  <c r="F172"/>
  <c r="F171"/>
  <c r="F170"/>
  <c r="F169"/>
  <c r="F168"/>
  <c r="F167"/>
  <c r="F166"/>
  <c r="F164"/>
  <c r="F163"/>
  <c r="F162"/>
  <c r="F161"/>
  <c r="F160"/>
  <c r="F158"/>
  <c r="F157"/>
  <c r="F156"/>
  <c r="F155"/>
  <c r="F154"/>
  <c r="F153"/>
  <c r="F152"/>
  <c r="F151"/>
  <c r="F148"/>
  <c r="F147"/>
  <c r="F145"/>
  <c r="F144"/>
  <c r="F143"/>
  <c r="F142"/>
  <c r="F141"/>
  <c r="F140"/>
  <c r="F139"/>
  <c r="F138"/>
  <c r="F137"/>
  <c r="F136"/>
  <c r="F135"/>
  <c r="F134"/>
  <c r="F133"/>
  <c r="F131"/>
  <c r="F130"/>
  <c r="F129"/>
  <c r="F128"/>
  <c r="F127"/>
  <c r="F126"/>
  <c r="F125"/>
  <c r="F124"/>
  <c r="F122"/>
  <c r="F121"/>
  <c r="F120"/>
  <c r="F119"/>
  <c r="F118"/>
  <c r="F117"/>
  <c r="F115"/>
  <c r="F114"/>
  <c r="F113"/>
  <c r="F112"/>
  <c r="F111"/>
  <c r="F100"/>
  <c r="F99"/>
  <c r="F98"/>
  <c r="F97"/>
  <c r="F96"/>
  <c r="F95"/>
  <c r="F94"/>
  <c r="F93"/>
  <c r="F92"/>
  <c r="F91"/>
  <c r="F90"/>
  <c r="F89"/>
  <c r="F85"/>
  <c r="F84"/>
  <c r="F83"/>
  <c r="F82"/>
  <c r="F81"/>
  <c r="F80"/>
  <c r="F79"/>
  <c r="F78"/>
  <c r="F77"/>
  <c r="F76"/>
  <c r="F75"/>
  <c r="F74"/>
  <c r="F69"/>
  <c r="F68"/>
  <c r="F67"/>
  <c r="F66"/>
  <c r="F65"/>
  <c r="F63"/>
  <c r="F62"/>
  <c r="F61"/>
  <c r="F60"/>
  <c r="F59"/>
  <c r="F57"/>
  <c r="F56"/>
  <c r="F55"/>
  <c r="F54"/>
  <c r="F53"/>
  <c r="F52"/>
  <c r="F49"/>
  <c r="F48"/>
  <c r="F47"/>
  <c r="F46"/>
  <c r="F45"/>
  <c r="F43"/>
  <c r="F42"/>
  <c r="F41"/>
  <c r="F40"/>
  <c r="F39"/>
  <c r="F38"/>
  <c r="F37"/>
  <c r="F36"/>
  <c r="F35"/>
  <c r="F34"/>
  <c r="F33"/>
  <c r="F31"/>
  <c r="F30"/>
  <c r="F29"/>
  <c r="F28"/>
  <c r="F27"/>
  <c r="F26"/>
  <c r="F24"/>
  <c r="F23"/>
  <c r="F22"/>
  <c r="F21"/>
  <c r="F20"/>
  <c r="F19"/>
  <c r="F18"/>
  <c r="F17"/>
  <c r="F16"/>
  <c r="F15"/>
  <c r="F14"/>
  <c r="F13"/>
  <c r="M234" i="61"/>
  <c r="M233"/>
  <c r="M232"/>
  <c r="M226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2"/>
  <c r="M181"/>
  <c r="M174"/>
  <c r="M173"/>
  <c r="M172"/>
  <c r="M171"/>
  <c r="M170"/>
  <c r="M169"/>
  <c r="M168"/>
  <c r="M167"/>
  <c r="M166"/>
  <c r="M133"/>
  <c r="M125"/>
  <c r="M124"/>
  <c r="J102"/>
  <c r="J101"/>
  <c r="M100"/>
  <c r="M99"/>
  <c r="M98"/>
  <c r="M97"/>
  <c r="M96"/>
  <c r="M95"/>
  <c r="M94"/>
  <c r="M93"/>
  <c r="M90"/>
  <c r="J87"/>
  <c r="J86"/>
  <c r="M85"/>
  <c r="M84"/>
  <c r="M83"/>
  <c r="M82"/>
  <c r="M81"/>
  <c r="M80"/>
  <c r="M79"/>
  <c r="M75"/>
  <c r="J72"/>
  <c r="J71"/>
  <c r="J70"/>
  <c r="M67"/>
  <c r="M66"/>
  <c r="M65"/>
  <c r="J64"/>
  <c r="M63"/>
  <c r="M62"/>
  <c r="M59"/>
  <c r="J58"/>
  <c r="J51"/>
  <c r="J50"/>
  <c r="M47"/>
  <c r="M46"/>
  <c r="M45"/>
  <c r="J44"/>
  <c r="J32"/>
  <c r="J25"/>
  <c r="J17"/>
  <c r="J11"/>
  <c r="J10"/>
  <c r="F234"/>
  <c r="F233"/>
  <c r="F232"/>
  <c r="F226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2"/>
  <c r="F181"/>
  <c r="F174"/>
  <c r="F173"/>
  <c r="F172"/>
  <c r="F171"/>
  <c r="F170"/>
  <c r="F169"/>
  <c r="F168"/>
  <c r="F167"/>
  <c r="F166"/>
  <c r="F163"/>
  <c r="F157"/>
  <c r="F144"/>
  <c r="F143"/>
  <c r="F142"/>
  <c r="F140"/>
  <c r="F137"/>
  <c r="F133"/>
  <c r="F128"/>
  <c r="F126"/>
  <c r="F125"/>
  <c r="F124"/>
  <c r="F100"/>
  <c r="F99"/>
  <c r="F98"/>
  <c r="F97"/>
  <c r="F96"/>
  <c r="F95"/>
  <c r="F94"/>
  <c r="F93"/>
  <c r="F90"/>
  <c r="F85"/>
  <c r="F84"/>
  <c r="F83"/>
  <c r="F82"/>
  <c r="F81"/>
  <c r="F80"/>
  <c r="F79"/>
  <c r="F77"/>
  <c r="F75"/>
  <c r="F67"/>
  <c r="F66"/>
  <c r="F65"/>
  <c r="F63"/>
  <c r="F62"/>
  <c r="F59"/>
  <c r="F55"/>
  <c r="F54"/>
  <c r="F53"/>
  <c r="F47"/>
  <c r="F46"/>
  <c r="F45"/>
  <c r="F41"/>
  <c r="F40"/>
  <c r="F28"/>
  <c r="F27"/>
  <c r="F22"/>
  <c r="F21"/>
  <c r="F20"/>
  <c r="F18"/>
  <c r="F48" i="130"/>
  <c r="F45"/>
  <c r="F42"/>
  <c r="F43" s="1"/>
  <c r="F38"/>
  <c r="F39" s="1"/>
  <c r="F34"/>
  <c r="F35" s="1"/>
  <c r="F30"/>
  <c r="F31" s="1"/>
  <c r="F26"/>
  <c r="F27" s="1"/>
  <c r="H27" s="1"/>
  <c r="F10"/>
  <c r="F6" s="1"/>
  <c r="J8"/>
  <c r="I33" i="129"/>
  <c r="H33"/>
  <c r="G33"/>
  <c r="F33"/>
  <c r="E33"/>
  <c r="D29"/>
  <c r="I28"/>
  <c r="H28"/>
  <c r="G28"/>
  <c r="F28"/>
  <c r="E28"/>
  <c r="D28"/>
  <c r="I27"/>
  <c r="H27"/>
  <c r="G27"/>
  <c r="F27"/>
  <c r="F31" s="1"/>
  <c r="E27"/>
  <c r="E31" s="1"/>
  <c r="D27"/>
  <c r="I26"/>
  <c r="H26"/>
  <c r="G26"/>
  <c r="F26"/>
  <c r="E26"/>
  <c r="D26"/>
  <c r="C21"/>
  <c r="I18"/>
  <c r="H18"/>
  <c r="G18"/>
  <c r="F18"/>
  <c r="E18"/>
  <c r="D18"/>
  <c r="C17"/>
  <c r="C16"/>
  <c r="C18" s="1"/>
  <c r="I15"/>
  <c r="I19" s="1"/>
  <c r="H15"/>
  <c r="H19" s="1"/>
  <c r="G15"/>
  <c r="G19" s="1"/>
  <c r="F15"/>
  <c r="F19" s="1"/>
  <c r="E15"/>
  <c r="E19" s="1"/>
  <c r="D15"/>
  <c r="D19" s="1"/>
  <c r="C14"/>
  <c r="C13"/>
  <c r="C15" s="1"/>
  <c r="C19" s="1"/>
  <c r="C10"/>
  <c r="I11"/>
  <c r="H11"/>
  <c r="G11"/>
  <c r="F11"/>
  <c r="E11"/>
  <c r="H6"/>
  <c r="G8"/>
  <c r="F8"/>
  <c r="K18" i="128"/>
  <c r="I18"/>
  <c r="H18"/>
  <c r="G18"/>
  <c r="K16"/>
  <c r="I16"/>
  <c r="H16"/>
  <c r="G16"/>
  <c r="F16"/>
  <c r="J14"/>
  <c r="J16" s="1"/>
  <c r="G14"/>
  <c r="K13"/>
  <c r="I13"/>
  <c r="H13"/>
  <c r="G13"/>
  <c r="F13"/>
  <c r="F18" s="1"/>
  <c r="J11"/>
  <c r="J13" s="1"/>
  <c r="J18" s="1"/>
  <c r="CE35" i="127"/>
  <c r="CF35" s="1"/>
  <c r="BS35"/>
  <c r="BT35" s="1"/>
  <c r="BG35"/>
  <c r="BH35" s="1"/>
  <c r="AU35"/>
  <c r="AV35" s="1"/>
  <c r="AI35"/>
  <c r="AJ35" s="1"/>
  <c r="W35"/>
  <c r="X35" s="1"/>
  <c r="I35"/>
  <c r="H35"/>
  <c r="G35"/>
  <c r="F35"/>
  <c r="E35"/>
  <c r="D35"/>
  <c r="C35"/>
  <c r="CE34"/>
  <c r="CF34" s="1"/>
  <c r="BS34"/>
  <c r="BT34" s="1"/>
  <c r="BG34"/>
  <c r="BH34" s="1"/>
  <c r="AU34"/>
  <c r="AV34" s="1"/>
  <c r="AI34"/>
  <c r="AJ34" s="1"/>
  <c r="W34"/>
  <c r="X34" s="1"/>
  <c r="I34"/>
  <c r="H34"/>
  <c r="G34"/>
  <c r="F34"/>
  <c r="E34"/>
  <c r="D34"/>
  <c r="C34"/>
  <c r="CF30"/>
  <c r="CE30"/>
  <c r="CD30"/>
  <c r="CC30"/>
  <c r="CB30"/>
  <c r="CA30"/>
  <c r="BZ30"/>
  <c r="BY30"/>
  <c r="BX30"/>
  <c r="BT30"/>
  <c r="BS30"/>
  <c r="BR30"/>
  <c r="BQ30"/>
  <c r="BP30"/>
  <c r="BO30"/>
  <c r="BN30"/>
  <c r="BM30"/>
  <c r="BL30"/>
  <c r="BE30"/>
  <c r="BD30"/>
  <c r="BC30"/>
  <c r="BB30"/>
  <c r="BA30"/>
  <c r="AZ30"/>
  <c r="AT30"/>
  <c r="AS30"/>
  <c r="AR30"/>
  <c r="AQ30"/>
  <c r="AP30"/>
  <c r="AO30"/>
  <c r="AN30"/>
  <c r="AH30"/>
  <c r="AG30"/>
  <c r="AF30"/>
  <c r="AE30"/>
  <c r="AD30"/>
  <c r="AC30"/>
  <c r="AB30"/>
  <c r="V30"/>
  <c r="U30"/>
  <c r="T30"/>
  <c r="S30"/>
  <c r="R30"/>
  <c r="Q30"/>
  <c r="BG29"/>
  <c r="BH29" s="1"/>
  <c r="AU29"/>
  <c r="AV29" s="1"/>
  <c r="AI29"/>
  <c r="AJ29" s="1"/>
  <c r="W29"/>
  <c r="X29" s="1"/>
  <c r="I29"/>
  <c r="H29"/>
  <c r="G29"/>
  <c r="F29"/>
  <c r="E29"/>
  <c r="D29"/>
  <c r="C29"/>
  <c r="BG28"/>
  <c r="BH28" s="1"/>
  <c r="AU28"/>
  <c r="AV28" s="1"/>
  <c r="AI28"/>
  <c r="AJ28" s="1"/>
  <c r="W28"/>
  <c r="X28" s="1"/>
  <c r="I28"/>
  <c r="H28"/>
  <c r="G28"/>
  <c r="F28"/>
  <c r="E28"/>
  <c r="D28"/>
  <c r="C28"/>
  <c r="BG27"/>
  <c r="AU27"/>
  <c r="AV27" s="1"/>
  <c r="AI27"/>
  <c r="AJ27" s="1"/>
  <c r="W27"/>
  <c r="P30"/>
  <c r="I27"/>
  <c r="H27"/>
  <c r="G27"/>
  <c r="F27"/>
  <c r="E27"/>
  <c r="D27"/>
  <c r="C27"/>
  <c r="BG26"/>
  <c r="BH26" s="1"/>
  <c r="BF30"/>
  <c r="AU26"/>
  <c r="AV26" s="1"/>
  <c r="AI26"/>
  <c r="AJ26" s="1"/>
  <c r="W26"/>
  <c r="X26" s="1"/>
  <c r="I26"/>
  <c r="H26"/>
  <c r="G26"/>
  <c r="F26"/>
  <c r="E26"/>
  <c r="D26"/>
  <c r="C26"/>
  <c r="BG25"/>
  <c r="BH25" s="1"/>
  <c r="AU25"/>
  <c r="AU30" s="1"/>
  <c r="AI25"/>
  <c r="W25"/>
  <c r="I25"/>
  <c r="H25"/>
  <c r="G25"/>
  <c r="F25"/>
  <c r="E25"/>
  <c r="D25"/>
  <c r="C25"/>
  <c r="CD21"/>
  <c r="CC21"/>
  <c r="CB21"/>
  <c r="CA21"/>
  <c r="BZ21"/>
  <c r="BY21"/>
  <c r="BX21"/>
  <c r="BR21"/>
  <c r="BQ21"/>
  <c r="BP21"/>
  <c r="BO21"/>
  <c r="BN21"/>
  <c r="BM21"/>
  <c r="BL21"/>
  <c r="BF21"/>
  <c r="BE21"/>
  <c r="BD21"/>
  <c r="BC21"/>
  <c r="BB21"/>
  <c r="BA21"/>
  <c r="AZ21"/>
  <c r="AT21"/>
  <c r="AS21"/>
  <c r="AR21"/>
  <c r="AQ21"/>
  <c r="AP21"/>
  <c r="AO21"/>
  <c r="AN21"/>
  <c r="AH21"/>
  <c r="AG21"/>
  <c r="AF21"/>
  <c r="AE21"/>
  <c r="AD21"/>
  <c r="AC21"/>
  <c r="AB21"/>
  <c r="V21"/>
  <c r="U21"/>
  <c r="T21"/>
  <c r="S21"/>
  <c r="R21"/>
  <c r="Q21"/>
  <c r="P21"/>
  <c r="CE20"/>
  <c r="CF20" s="1"/>
  <c r="BT20"/>
  <c r="BS20"/>
  <c r="BG20"/>
  <c r="AV20"/>
  <c r="AU20"/>
  <c r="AJ20"/>
  <c r="AI20"/>
  <c r="X20"/>
  <c r="W20"/>
  <c r="J20"/>
  <c r="I20"/>
  <c r="H20"/>
  <c r="G20"/>
  <c r="F20"/>
  <c r="E20"/>
  <c r="D20"/>
  <c r="C20"/>
  <c r="K20" s="1"/>
  <c r="CE19"/>
  <c r="CF19" s="1"/>
  <c r="BS19"/>
  <c r="BT19" s="1"/>
  <c r="BT21" s="1"/>
  <c r="BG19"/>
  <c r="BH19" s="1"/>
  <c r="AU19"/>
  <c r="AV19" s="1"/>
  <c r="AV21" s="1"/>
  <c r="AI19"/>
  <c r="AI21" s="1"/>
  <c r="W19"/>
  <c r="W21" s="1"/>
  <c r="I19"/>
  <c r="I21" s="1"/>
  <c r="H19"/>
  <c r="H21" s="1"/>
  <c r="G19"/>
  <c r="G21" s="1"/>
  <c r="F19"/>
  <c r="F21" s="1"/>
  <c r="E19"/>
  <c r="E21" s="1"/>
  <c r="D19"/>
  <c r="D21" s="1"/>
  <c r="C19"/>
  <c r="CD17"/>
  <c r="CD22" s="1"/>
  <c r="CC17"/>
  <c r="CC22" s="1"/>
  <c r="CB17"/>
  <c r="CB22" s="1"/>
  <c r="CA17"/>
  <c r="CA22" s="1"/>
  <c r="BZ17"/>
  <c r="BZ22" s="1"/>
  <c r="BY17"/>
  <c r="BY22" s="1"/>
  <c r="BX17"/>
  <c r="BX22" s="1"/>
  <c r="BR17"/>
  <c r="BR22" s="1"/>
  <c r="BQ17"/>
  <c r="BQ22" s="1"/>
  <c r="BP17"/>
  <c r="BP22" s="1"/>
  <c r="BO17"/>
  <c r="BO22" s="1"/>
  <c r="BN17"/>
  <c r="BN22" s="1"/>
  <c r="BM17"/>
  <c r="BM22" s="1"/>
  <c r="BL17"/>
  <c r="BL22" s="1"/>
  <c r="BF17"/>
  <c r="BF22" s="1"/>
  <c r="BE17"/>
  <c r="BE22" s="1"/>
  <c r="BD17"/>
  <c r="BD22" s="1"/>
  <c r="BC17"/>
  <c r="BC22" s="1"/>
  <c r="BB17"/>
  <c r="BB22" s="1"/>
  <c r="AT17"/>
  <c r="AT22" s="1"/>
  <c r="AS17"/>
  <c r="AS22" s="1"/>
  <c r="AR17"/>
  <c r="AR22" s="1"/>
  <c r="AQ17"/>
  <c r="AQ22" s="1"/>
  <c r="AP17"/>
  <c r="AP22" s="1"/>
  <c r="AO17"/>
  <c r="AO22" s="1"/>
  <c r="AN17"/>
  <c r="AN22" s="1"/>
  <c r="AH17"/>
  <c r="AH22" s="1"/>
  <c r="AG17"/>
  <c r="AG22" s="1"/>
  <c r="AF17"/>
  <c r="AF22" s="1"/>
  <c r="AE17"/>
  <c r="AE22" s="1"/>
  <c r="AD17"/>
  <c r="AD22" s="1"/>
  <c r="AC17"/>
  <c r="AC22" s="1"/>
  <c r="AB17"/>
  <c r="AB22" s="1"/>
  <c r="U17"/>
  <c r="U22" s="1"/>
  <c r="T17"/>
  <c r="T22" s="1"/>
  <c r="S17"/>
  <c r="S22" s="1"/>
  <c r="R17"/>
  <c r="R22" s="1"/>
  <c r="Q17"/>
  <c r="Q22" s="1"/>
  <c r="CE16"/>
  <c r="CF16" s="1"/>
  <c r="BS16"/>
  <c r="BT16" s="1"/>
  <c r="BG16"/>
  <c r="BH16" s="1"/>
  <c r="AU16"/>
  <c r="AV16" s="1"/>
  <c r="AI16"/>
  <c r="AJ16" s="1"/>
  <c r="W16"/>
  <c r="X16" s="1"/>
  <c r="I16"/>
  <c r="H16"/>
  <c r="G16"/>
  <c r="F16"/>
  <c r="E16"/>
  <c r="D16"/>
  <c r="C16"/>
  <c r="CE15"/>
  <c r="CF15" s="1"/>
  <c r="BS15"/>
  <c r="BT15" s="1"/>
  <c r="BA17"/>
  <c r="BA22" s="1"/>
  <c r="AZ17"/>
  <c r="AZ22" s="1"/>
  <c r="AU15"/>
  <c r="AV15" s="1"/>
  <c r="AI15"/>
  <c r="AJ15" s="1"/>
  <c r="V17"/>
  <c r="V22" s="1"/>
  <c r="H15"/>
  <c r="G15"/>
  <c r="E15"/>
  <c r="P17"/>
  <c r="P22" s="1"/>
  <c r="F15"/>
  <c r="D15"/>
  <c r="C15"/>
  <c r="CE14"/>
  <c r="CF14" s="1"/>
  <c r="BS14"/>
  <c r="BT14" s="1"/>
  <c r="BG14"/>
  <c r="BH14" s="1"/>
  <c r="AU14"/>
  <c r="AV14" s="1"/>
  <c r="AJ14"/>
  <c r="AI14"/>
  <c r="X14"/>
  <c r="W14"/>
  <c r="I14"/>
  <c r="H14"/>
  <c r="G14"/>
  <c r="F14"/>
  <c r="E14"/>
  <c r="D14"/>
  <c r="C14"/>
  <c r="CE13"/>
  <c r="CF13" s="1"/>
  <c r="BS13"/>
  <c r="BT13" s="1"/>
  <c r="BH13"/>
  <c r="BG13"/>
  <c r="AU13"/>
  <c r="AV13" s="1"/>
  <c r="AI13"/>
  <c r="AJ13" s="1"/>
  <c r="W13"/>
  <c r="I13"/>
  <c r="H13"/>
  <c r="G13"/>
  <c r="F13"/>
  <c r="E13"/>
  <c r="D13"/>
  <c r="C13"/>
  <c r="CE12"/>
  <c r="CF12" s="1"/>
  <c r="BT12"/>
  <c r="BS12"/>
  <c r="BG12"/>
  <c r="AV12"/>
  <c r="AU12"/>
  <c r="AI12"/>
  <c r="AJ12" s="1"/>
  <c r="X12"/>
  <c r="W12"/>
  <c r="I12"/>
  <c r="H12"/>
  <c r="G12"/>
  <c r="F12"/>
  <c r="E12"/>
  <c r="D12"/>
  <c r="C12"/>
  <c r="CE11"/>
  <c r="CF11" s="1"/>
  <c r="BS11"/>
  <c r="BT11" s="1"/>
  <c r="BG11"/>
  <c r="BH11" s="1"/>
  <c r="AU11"/>
  <c r="AV11" s="1"/>
  <c r="AI11"/>
  <c r="AJ11" s="1"/>
  <c r="W11"/>
  <c r="X11" s="1"/>
  <c r="I11"/>
  <c r="H11"/>
  <c r="G11"/>
  <c r="F11"/>
  <c r="E11"/>
  <c r="D11"/>
  <c r="C11"/>
  <c r="CF10"/>
  <c r="CE10"/>
  <c r="CE17" s="1"/>
  <c r="BS10"/>
  <c r="BG10"/>
  <c r="BH10" s="1"/>
  <c r="AU10"/>
  <c r="AV10" s="1"/>
  <c r="AI10"/>
  <c r="W10"/>
  <c r="I10"/>
  <c r="H10"/>
  <c r="G10"/>
  <c r="F10"/>
  <c r="E10"/>
  <c r="D10"/>
  <c r="C10"/>
  <c r="H13" i="126"/>
  <c r="E13"/>
  <c r="D13"/>
  <c r="C13"/>
  <c r="G12"/>
  <c r="F12"/>
  <c r="F11"/>
  <c r="G10"/>
  <c r="F10"/>
  <c r="F9"/>
  <c r="F8"/>
  <c r="F7"/>
  <c r="G72" i="125"/>
  <c r="G68"/>
  <c r="F66"/>
  <c r="E66"/>
  <c r="D66"/>
  <c r="C66"/>
  <c r="B66"/>
  <c r="G57"/>
  <c r="L54"/>
  <c r="M54" s="1"/>
  <c r="G49"/>
  <c r="L41"/>
  <c r="E41"/>
  <c r="G41" s="1"/>
  <c r="E39"/>
  <c r="G39" s="1"/>
  <c r="E37"/>
  <c r="G37" s="1"/>
  <c r="E36"/>
  <c r="G36" s="1"/>
  <c r="E35"/>
  <c r="G35" s="1"/>
  <c r="J34"/>
  <c r="I34"/>
  <c r="F34"/>
  <c r="D34"/>
  <c r="C34"/>
  <c r="B34"/>
  <c r="E32"/>
  <c r="G32" s="1"/>
  <c r="E31"/>
  <c r="G31" s="1"/>
  <c r="L30"/>
  <c r="E30"/>
  <c r="G30" s="1"/>
  <c r="E29"/>
  <c r="E28" s="1"/>
  <c r="J28"/>
  <c r="I28"/>
  <c r="F28"/>
  <c r="D28"/>
  <c r="C28"/>
  <c r="B28"/>
  <c r="L26"/>
  <c r="E26"/>
  <c r="G26" s="1"/>
  <c r="E25"/>
  <c r="J24"/>
  <c r="I24"/>
  <c r="F24"/>
  <c r="D24"/>
  <c r="C24"/>
  <c r="B24"/>
  <c r="E22"/>
  <c r="G22" s="1"/>
  <c r="E21"/>
  <c r="G21" s="1"/>
  <c r="E20"/>
  <c r="G20" s="1"/>
  <c r="E19"/>
  <c r="G19" s="1"/>
  <c r="J18"/>
  <c r="I18"/>
  <c r="F18"/>
  <c r="F10" s="1"/>
  <c r="D18"/>
  <c r="C18"/>
  <c r="B18"/>
  <c r="E17"/>
  <c r="G17" s="1"/>
  <c r="E16"/>
  <c r="G16" s="1"/>
  <c r="E15"/>
  <c r="G15" s="1"/>
  <c r="E14"/>
  <c r="G14" s="1"/>
  <c r="E13"/>
  <c r="G13" s="1"/>
  <c r="J12"/>
  <c r="J10" s="1"/>
  <c r="I12"/>
  <c r="I10" s="1"/>
  <c r="I43" s="1"/>
  <c r="F12"/>
  <c r="D12"/>
  <c r="C12"/>
  <c r="B12"/>
  <c r="B10" s="1"/>
  <c r="E11"/>
  <c r="G11" s="1"/>
  <c r="D48" i="124"/>
  <c r="D47"/>
  <c r="C47"/>
  <c r="E46"/>
  <c r="E45"/>
  <c r="E44"/>
  <c r="E43"/>
  <c r="E42"/>
  <c r="E41"/>
  <c r="E40"/>
  <c r="E39"/>
  <c r="E38"/>
  <c r="D37"/>
  <c r="C37"/>
  <c r="E36"/>
  <c r="E35"/>
  <c r="E34"/>
  <c r="E33"/>
  <c r="E32"/>
  <c r="E31"/>
  <c r="E30"/>
  <c r="E28"/>
  <c r="E27"/>
  <c r="D26"/>
  <c r="C26"/>
  <c r="E25"/>
  <c r="E24"/>
  <c r="E23"/>
  <c r="D22"/>
  <c r="C22"/>
  <c r="E21"/>
  <c r="E20"/>
  <c r="E19"/>
  <c r="E18"/>
  <c r="D17"/>
  <c r="D29" s="1"/>
  <c r="D49" s="1"/>
  <c r="C17"/>
  <c r="E16"/>
  <c r="E15"/>
  <c r="E14"/>
  <c r="E13"/>
  <c r="D12"/>
  <c r="C12"/>
  <c r="E11"/>
  <c r="E10"/>
  <c r="D9"/>
  <c r="C9"/>
  <c r="E8"/>
  <c r="E7"/>
  <c r="E6"/>
  <c r="E35" i="123"/>
  <c r="L64" i="125" s="1"/>
  <c r="M64" s="1"/>
  <c r="E34" i="123"/>
  <c r="L62" i="125" s="1"/>
  <c r="M62" s="1"/>
  <c r="D33" i="123"/>
  <c r="E32"/>
  <c r="E33" s="1"/>
  <c r="E31"/>
  <c r="L59" i="125" s="1"/>
  <c r="M59" s="1"/>
  <c r="C33" i="123"/>
  <c r="E30"/>
  <c r="L58" i="125" s="1"/>
  <c r="M58" s="1"/>
  <c r="D29" i="123"/>
  <c r="D36" s="1"/>
  <c r="C29"/>
  <c r="E28"/>
  <c r="E27"/>
  <c r="E26"/>
  <c r="L53" i="125" s="1"/>
  <c r="M53" s="1"/>
  <c r="E25" i="123"/>
  <c r="L50" i="125" s="1"/>
  <c r="M50" s="1"/>
  <c r="E23" i="123"/>
  <c r="E22"/>
  <c r="L39" i="125" s="1"/>
  <c r="D21" i="123"/>
  <c r="C21"/>
  <c r="E20"/>
  <c r="L37" i="125" s="1"/>
  <c r="M37" s="1"/>
  <c r="E19" i="123"/>
  <c r="L36" i="125" s="1"/>
  <c r="E18" i="123"/>
  <c r="D17"/>
  <c r="C17"/>
  <c r="E16"/>
  <c r="L31" i="125" s="1"/>
  <c r="M31" s="1"/>
  <c r="E15" i="123"/>
  <c r="E14"/>
  <c r="E17" s="1"/>
  <c r="D13"/>
  <c r="C13"/>
  <c r="E12"/>
  <c r="E11"/>
  <c r="E13" s="1"/>
  <c r="D10"/>
  <c r="D24" s="1"/>
  <c r="C10"/>
  <c r="E9"/>
  <c r="L22" i="125" s="1"/>
  <c r="E8" i="123"/>
  <c r="L18" i="125" s="1"/>
  <c r="E7" i="123"/>
  <c r="E6"/>
  <c r="L11" i="125" s="1"/>
  <c r="H36" i="122"/>
  <c r="E36"/>
  <c r="H35"/>
  <c r="E35"/>
  <c r="D34"/>
  <c r="C34"/>
  <c r="E33"/>
  <c r="E32"/>
  <c r="E31"/>
  <c r="E30"/>
  <c r="E29"/>
  <c r="E34" s="1"/>
  <c r="H34" s="1"/>
  <c r="H27"/>
  <c r="E27"/>
  <c r="D27"/>
  <c r="C27"/>
  <c r="E26"/>
  <c r="E25"/>
  <c r="E24"/>
  <c r="H24" s="1"/>
  <c r="E23"/>
  <c r="E22"/>
  <c r="E21"/>
  <c r="E20"/>
  <c r="D19"/>
  <c r="C19"/>
  <c r="E18"/>
  <c r="E17"/>
  <c r="E19" s="1"/>
  <c r="D16"/>
  <c r="C16"/>
  <c r="E15"/>
  <c r="E14"/>
  <c r="E13"/>
  <c r="E12"/>
  <c r="E11"/>
  <c r="E10"/>
  <c r="E16" s="1"/>
  <c r="H16" s="1"/>
  <c r="D9"/>
  <c r="D28" s="1"/>
  <c r="D37" s="1"/>
  <c r="C9"/>
  <c r="C28" s="1"/>
  <c r="C37" s="1"/>
  <c r="E8"/>
  <c r="E7"/>
  <c r="E6"/>
  <c r="H44" i="121"/>
  <c r="E44"/>
  <c r="H43"/>
  <c r="E43"/>
  <c r="D42"/>
  <c r="C42"/>
  <c r="E41"/>
  <c r="E40"/>
  <c r="E39"/>
  <c r="E38"/>
  <c r="E37"/>
  <c r="E36"/>
  <c r="E42" s="1"/>
  <c r="E35"/>
  <c r="H33"/>
  <c r="E33"/>
  <c r="D33"/>
  <c r="C33"/>
  <c r="E32"/>
  <c r="E31"/>
  <c r="E30"/>
  <c r="H29"/>
  <c r="E29"/>
  <c r="H28"/>
  <c r="E28"/>
  <c r="E27"/>
  <c r="E26"/>
  <c r="H25"/>
  <c r="E25"/>
  <c r="H24"/>
  <c r="E24"/>
  <c r="D24"/>
  <c r="C24"/>
  <c r="E23"/>
  <c r="E22"/>
  <c r="E21"/>
  <c r="E20"/>
  <c r="E19"/>
  <c r="E18"/>
  <c r="E17"/>
  <c r="E16"/>
  <c r="E15"/>
  <c r="E14"/>
  <c r="E13"/>
  <c r="E12"/>
  <c r="D11"/>
  <c r="D34" s="1"/>
  <c r="D45" s="1"/>
  <c r="C11"/>
  <c r="C34" s="1"/>
  <c r="C45" s="1"/>
  <c r="E10"/>
  <c r="E9"/>
  <c r="E8"/>
  <c r="E7"/>
  <c r="E6"/>
  <c r="E285" i="120"/>
  <c r="E284"/>
  <c r="E283"/>
  <c r="E282"/>
  <c r="E281"/>
  <c r="E280"/>
  <c r="E279"/>
  <c r="E278"/>
  <c r="E277"/>
  <c r="E276"/>
  <c r="E275"/>
  <c r="D274"/>
  <c r="C274"/>
  <c r="E273"/>
  <c r="E272"/>
  <c r="E271"/>
  <c r="E270"/>
  <c r="E269"/>
  <c r="E268"/>
  <c r="E267"/>
  <c r="E266"/>
  <c r="E265"/>
  <c r="D264"/>
  <c r="C264"/>
  <c r="H263"/>
  <c r="E263"/>
  <c r="E262"/>
  <c r="H262" s="1"/>
  <c r="E261"/>
  <c r="H261" s="1"/>
  <c r="E259"/>
  <c r="E258"/>
  <c r="E257"/>
  <c r="E256"/>
  <c r="E255"/>
  <c r="E254"/>
  <c r="E253"/>
  <c r="E252"/>
  <c r="E251"/>
  <c r="E250"/>
  <c r="E249"/>
  <c r="D248"/>
  <c r="C248"/>
  <c r="E247"/>
  <c r="E246"/>
  <c r="E245"/>
  <c r="E244"/>
  <c r="E243"/>
  <c r="E242"/>
  <c r="E241"/>
  <c r="E240"/>
  <c r="E239"/>
  <c r="D238"/>
  <c r="D260" s="1"/>
  <c r="C238"/>
  <c r="E237"/>
  <c r="H237" s="1"/>
  <c r="E236"/>
  <c r="E235"/>
  <c r="H235" s="1"/>
  <c r="D234"/>
  <c r="C234"/>
  <c r="E233"/>
  <c r="H233" s="1"/>
  <c r="E232"/>
  <c r="E231"/>
  <c r="H231" s="1"/>
  <c r="E230"/>
  <c r="E229"/>
  <c r="E228"/>
  <c r="E227"/>
  <c r="E226"/>
  <c r="E224"/>
  <c r="E223"/>
  <c r="E222"/>
  <c r="E221"/>
  <c r="D220"/>
  <c r="C220"/>
  <c r="E219"/>
  <c r="E218"/>
  <c r="E217"/>
  <c r="E216"/>
  <c r="E215"/>
  <c r="E214"/>
  <c r="E213"/>
  <c r="D212"/>
  <c r="D225" s="1"/>
  <c r="C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8"/>
  <c r="E186"/>
  <c r="E183"/>
  <c r="E182"/>
  <c r="E181"/>
  <c r="E180"/>
  <c r="E179"/>
  <c r="E178"/>
  <c r="E177"/>
  <c r="E176"/>
  <c r="E175"/>
  <c r="E174"/>
  <c r="E173"/>
  <c r="E172"/>
  <c r="E171"/>
  <c r="E170"/>
  <c r="E168"/>
  <c r="E167"/>
  <c r="E166"/>
  <c r="E165"/>
  <c r="E164"/>
  <c r="E163"/>
  <c r="E162"/>
  <c r="E161"/>
  <c r="E160"/>
  <c r="E159"/>
  <c r="E158"/>
  <c r="E157"/>
  <c r="E156"/>
  <c r="E155"/>
  <c r="E154"/>
  <c r="E153"/>
  <c r="D152"/>
  <c r="C152"/>
  <c r="E151"/>
  <c r="E150"/>
  <c r="E149"/>
  <c r="E148"/>
  <c r="D147"/>
  <c r="C147"/>
  <c r="E146"/>
  <c r="E145"/>
  <c r="E144"/>
  <c r="E143"/>
  <c r="D142"/>
  <c r="C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D120"/>
  <c r="C120"/>
  <c r="E119"/>
  <c r="E118"/>
  <c r="E117"/>
  <c r="E116"/>
  <c r="E115"/>
  <c r="E114"/>
  <c r="D113"/>
  <c r="C113"/>
  <c r="E112"/>
  <c r="E111"/>
  <c r="E110"/>
  <c r="E109"/>
  <c r="H108"/>
  <c r="C108"/>
  <c r="E107"/>
  <c r="E106"/>
  <c r="E105"/>
  <c r="E104"/>
  <c r="E103"/>
  <c r="E102"/>
  <c r="E101"/>
  <c r="E100"/>
  <c r="E99"/>
  <c r="D98"/>
  <c r="C98"/>
  <c r="E96"/>
  <c r="E95"/>
  <c r="E94"/>
  <c r="E93"/>
  <c r="E92"/>
  <c r="E91"/>
  <c r="E90"/>
  <c r="E89"/>
  <c r="D88"/>
  <c r="C88"/>
  <c r="E87"/>
  <c r="E86"/>
  <c r="D85"/>
  <c r="C85"/>
  <c r="E83"/>
  <c r="E82"/>
  <c r="E81"/>
  <c r="E80"/>
  <c r="E79"/>
  <c r="E78"/>
  <c r="E77"/>
  <c r="E76"/>
  <c r="E75"/>
  <c r="E74"/>
  <c r="D73"/>
  <c r="C73"/>
  <c r="E72"/>
  <c r="E71"/>
  <c r="E70"/>
  <c r="E69"/>
  <c r="E68"/>
  <c r="E67"/>
  <c r="E66"/>
  <c r="E65"/>
  <c r="E64"/>
  <c r="E63"/>
  <c r="D62"/>
  <c r="C62"/>
  <c r="E61"/>
  <c r="E60"/>
  <c r="E59"/>
  <c r="E58"/>
  <c r="E57"/>
  <c r="E56"/>
  <c r="E55"/>
  <c r="E54"/>
  <c r="E53"/>
  <c r="E52"/>
  <c r="D51"/>
  <c r="C51"/>
  <c r="E50"/>
  <c r="H50" s="1"/>
  <c r="E49"/>
  <c r="E47"/>
  <c r="E46"/>
  <c r="E45"/>
  <c r="E44"/>
  <c r="E43"/>
  <c r="E42"/>
  <c r="E41"/>
  <c r="E40"/>
  <c r="E39"/>
  <c r="E38"/>
  <c r="D37"/>
  <c r="C37"/>
  <c r="E36"/>
  <c r="E35"/>
  <c r="E34"/>
  <c r="E33"/>
  <c r="E32"/>
  <c r="E31"/>
  <c r="E30"/>
  <c r="E29"/>
  <c r="E28"/>
  <c r="E27"/>
  <c r="D26"/>
  <c r="C26"/>
  <c r="E25"/>
  <c r="E24"/>
  <c r="E23"/>
  <c r="E22"/>
  <c r="E21"/>
  <c r="E20"/>
  <c r="E19"/>
  <c r="E18"/>
  <c r="E17"/>
  <c r="E16"/>
  <c r="D15"/>
  <c r="C15"/>
  <c r="E14"/>
  <c r="H14" s="1"/>
  <c r="E13"/>
  <c r="D12"/>
  <c r="C12"/>
  <c r="E11"/>
  <c r="H11" s="1"/>
  <c r="E10"/>
  <c r="E9"/>
  <c r="E8"/>
  <c r="E7"/>
  <c r="E6"/>
  <c r="E269" i="119"/>
  <c r="E268"/>
  <c r="E267"/>
  <c r="E266"/>
  <c r="E265"/>
  <c r="E264"/>
  <c r="E263"/>
  <c r="E262"/>
  <c r="E261"/>
  <c r="E260"/>
  <c r="D259"/>
  <c r="C259"/>
  <c r="E258"/>
  <c r="H258" s="1"/>
  <c r="E257"/>
  <c r="H257" s="1"/>
  <c r="E256"/>
  <c r="E255"/>
  <c r="E254"/>
  <c r="E253"/>
  <c r="E252"/>
  <c r="E251"/>
  <c r="E250"/>
  <c r="E249"/>
  <c r="E248"/>
  <c r="E245" s="1"/>
  <c r="H245" s="1"/>
  <c r="E247"/>
  <c r="E246"/>
  <c r="D245"/>
  <c r="C245"/>
  <c r="E244"/>
  <c r="E243"/>
  <c r="H243" s="1"/>
  <c r="E242"/>
  <c r="E241"/>
  <c r="E240"/>
  <c r="E239"/>
  <c r="E238"/>
  <c r="E237"/>
  <c r="E236"/>
  <c r="E235"/>
  <c r="E234"/>
  <c r="E233"/>
  <c r="D232"/>
  <c r="C232"/>
  <c r="E231"/>
  <c r="E230"/>
  <c r="E229"/>
  <c r="E228"/>
  <c r="E227"/>
  <c r="E226"/>
  <c r="E225"/>
  <c r="E224"/>
  <c r="E223"/>
  <c r="E222"/>
  <c r="D221"/>
  <c r="C221"/>
  <c r="E220"/>
  <c r="E219"/>
  <c r="E218"/>
  <c r="E217"/>
  <c r="E216"/>
  <c r="E215"/>
  <c r="E214"/>
  <c r="E213"/>
  <c r="E212"/>
  <c r="E211"/>
  <c r="D210"/>
  <c r="D270" s="1"/>
  <c r="C210"/>
  <c r="E209"/>
  <c r="H209" s="1"/>
  <c r="D208"/>
  <c r="C208"/>
  <c r="E207"/>
  <c r="E206"/>
  <c r="H206" s="1"/>
  <c r="E205"/>
  <c r="H205" s="1"/>
  <c r="E204"/>
  <c r="D203"/>
  <c r="C203"/>
  <c r="E202"/>
  <c r="E201"/>
  <c r="H201" s="1"/>
  <c r="E200"/>
  <c r="H200" s="1"/>
  <c r="E199"/>
  <c r="E198"/>
  <c r="E197"/>
  <c r="E196"/>
  <c r="E195"/>
  <c r="E193"/>
  <c r="E192"/>
  <c r="E191"/>
  <c r="E190"/>
  <c r="E189"/>
  <c r="E188"/>
  <c r="E187"/>
  <c r="E186"/>
  <c r="E185"/>
  <c r="E184"/>
  <c r="E183"/>
  <c r="D182"/>
  <c r="C182"/>
  <c r="E181"/>
  <c r="H181" s="1"/>
  <c r="E180"/>
  <c r="H180" s="1"/>
  <c r="E179"/>
  <c r="H179" s="1"/>
  <c r="E178"/>
  <c r="E177"/>
  <c r="E176"/>
  <c r="E175"/>
  <c r="E174"/>
  <c r="E173"/>
  <c r="E172"/>
  <c r="E171"/>
  <c r="E170"/>
  <c r="E169"/>
  <c r="E168"/>
  <c r="D167"/>
  <c r="C167"/>
  <c r="E166"/>
  <c r="E165"/>
  <c r="H165" s="1"/>
  <c r="E164"/>
  <c r="E163"/>
  <c r="E162"/>
  <c r="E161"/>
  <c r="E160"/>
  <c r="E159"/>
  <c r="E158"/>
  <c r="E157"/>
  <c r="E156"/>
  <c r="E155"/>
  <c r="D154"/>
  <c r="C154"/>
  <c r="E153"/>
  <c r="E152"/>
  <c r="E151"/>
  <c r="E150"/>
  <c r="E149"/>
  <c r="E148"/>
  <c r="E147"/>
  <c r="E146"/>
  <c r="E145"/>
  <c r="E144"/>
  <c r="D143"/>
  <c r="C143"/>
  <c r="E142"/>
  <c r="E141"/>
  <c r="E140"/>
  <c r="E139"/>
  <c r="E138"/>
  <c r="E137"/>
  <c r="E136"/>
  <c r="E135"/>
  <c r="E134"/>
  <c r="E133"/>
  <c r="E132" s="1"/>
  <c r="H132" s="1"/>
  <c r="D132"/>
  <c r="C132"/>
  <c r="E131"/>
  <c r="H131" s="1"/>
  <c r="D130"/>
  <c r="D194" s="1"/>
  <c r="C130"/>
  <c r="E129"/>
  <c r="E128"/>
  <c r="E127"/>
  <c r="E126"/>
  <c r="E125"/>
  <c r="H125" s="1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1" s="1"/>
  <c r="E102"/>
  <c r="D101"/>
  <c r="C101"/>
  <c r="E100"/>
  <c r="E99"/>
  <c r="D98"/>
  <c r="C98"/>
  <c r="E97"/>
  <c r="E96"/>
  <c r="E95"/>
  <c r="E94"/>
  <c r="E93"/>
  <c r="E92"/>
  <c r="E91"/>
  <c r="E90"/>
  <c r="E89"/>
  <c r="D88"/>
  <c r="C88"/>
  <c r="E86"/>
  <c r="E85"/>
  <c r="E84"/>
  <c r="E83"/>
  <c r="E82"/>
  <c r="E81"/>
  <c r="E80"/>
  <c r="E78"/>
  <c r="H78" s="1"/>
  <c r="E77"/>
  <c r="E76"/>
  <c r="E75"/>
  <c r="E74"/>
  <c r="E73"/>
  <c r="E72"/>
  <c r="E71"/>
  <c r="E70"/>
  <c r="E69"/>
  <c r="E68"/>
  <c r="D67"/>
  <c r="D124" s="1"/>
  <c r="C67"/>
  <c r="E66"/>
  <c r="H66" s="1"/>
  <c r="D64"/>
  <c r="C64"/>
  <c r="E63"/>
  <c r="E62"/>
  <c r="E61"/>
  <c r="E60"/>
  <c r="E59"/>
  <c r="E58"/>
  <c r="E57"/>
  <c r="E56"/>
  <c r="E55"/>
  <c r="E54"/>
  <c r="D53"/>
  <c r="C53"/>
  <c r="E52"/>
  <c r="E51"/>
  <c r="D50"/>
  <c r="C50"/>
  <c r="E49"/>
  <c r="E48"/>
  <c r="E47"/>
  <c r="E46"/>
  <c r="E45"/>
  <c r="E44"/>
  <c r="E43"/>
  <c r="E42"/>
  <c r="E41"/>
  <c r="E40"/>
  <c r="D39"/>
  <c r="C39"/>
  <c r="E38"/>
  <c r="E37"/>
  <c r="D36"/>
  <c r="C36"/>
  <c r="E35"/>
  <c r="E34"/>
  <c r="E33"/>
  <c r="E32"/>
  <c r="E31"/>
  <c r="E30"/>
  <c r="E29"/>
  <c r="E28"/>
  <c r="E27"/>
  <c r="D26"/>
  <c r="D24"/>
  <c r="E23"/>
  <c r="E22"/>
  <c r="E21"/>
  <c r="D20"/>
  <c r="D25" s="1"/>
  <c r="C20"/>
  <c r="E19"/>
  <c r="E18"/>
  <c r="E17"/>
  <c r="E16"/>
  <c r="E15"/>
  <c r="E14"/>
  <c r="E13"/>
  <c r="E12"/>
  <c r="E11"/>
  <c r="E10"/>
  <c r="E9"/>
  <c r="E8"/>
  <c r="E7"/>
  <c r="E6"/>
  <c r="H48" i="130" l="1"/>
  <c r="J56" s="1"/>
  <c r="F15"/>
  <c r="F14"/>
  <c r="F13"/>
  <c r="BS17" i="127"/>
  <c r="BS22" s="1"/>
  <c r="BS31" s="1"/>
  <c r="J12"/>
  <c r="K16"/>
  <c r="BG21"/>
  <c r="J16"/>
  <c r="E17"/>
  <c r="E22" s="1"/>
  <c r="AU21"/>
  <c r="K12"/>
  <c r="J13"/>
  <c r="K13" s="1"/>
  <c r="CF21"/>
  <c r="BS21"/>
  <c r="D17"/>
  <c r="D22" s="1"/>
  <c r="AI17"/>
  <c r="AI22" s="1"/>
  <c r="C17"/>
  <c r="AJ10"/>
  <c r="AJ17" s="1"/>
  <c r="J27"/>
  <c r="K27" s="1"/>
  <c r="D30"/>
  <c r="AI30"/>
  <c r="H17"/>
  <c r="H22" s="1"/>
  <c r="AU17"/>
  <c r="AU22" s="1"/>
  <c r="AU31" s="1"/>
  <c r="I30"/>
  <c r="F17"/>
  <c r="F22" s="1"/>
  <c r="F13" i="126"/>
  <c r="C10" i="125"/>
  <c r="J43"/>
  <c r="M26"/>
  <c r="E24"/>
  <c r="D10"/>
  <c r="D43" s="1"/>
  <c r="C43"/>
  <c r="B43"/>
  <c r="H30" i="127"/>
  <c r="G30"/>
  <c r="F30"/>
  <c r="BG30"/>
  <c r="E30"/>
  <c r="E31" s="1"/>
  <c r="J26"/>
  <c r="K26" s="1"/>
  <c r="C30"/>
  <c r="W30"/>
  <c r="J35"/>
  <c r="G66" i="125"/>
  <c r="M41"/>
  <c r="M39"/>
  <c r="F43"/>
  <c r="M22"/>
  <c r="M11"/>
  <c r="E47" i="124"/>
  <c r="C48"/>
  <c r="E37"/>
  <c r="E26"/>
  <c r="E22"/>
  <c r="E17"/>
  <c r="E12"/>
  <c r="C29"/>
  <c r="E9"/>
  <c r="L60" i="125"/>
  <c r="M60" s="1"/>
  <c r="E21" i="123"/>
  <c r="L35" i="125"/>
  <c r="M35" s="1"/>
  <c r="C24" i="123"/>
  <c r="E10"/>
  <c r="L12" i="125"/>
  <c r="E9" i="122"/>
  <c r="E28" s="1"/>
  <c r="E37" s="1"/>
  <c r="E11" i="121"/>
  <c r="E34" s="1"/>
  <c r="E45" s="1"/>
  <c r="E212" i="120"/>
  <c r="H212" s="1"/>
  <c r="C260"/>
  <c r="E62"/>
  <c r="H62" s="1"/>
  <c r="D97"/>
  <c r="C169"/>
  <c r="C48"/>
  <c r="C97"/>
  <c r="D169"/>
  <c r="E85"/>
  <c r="D48"/>
  <c r="E142"/>
  <c r="E248"/>
  <c r="E274"/>
  <c r="H274" s="1"/>
  <c r="E220"/>
  <c r="H220" s="1"/>
  <c r="E73"/>
  <c r="E264"/>
  <c r="E113"/>
  <c r="E26"/>
  <c r="H26" s="1"/>
  <c r="E120"/>
  <c r="D84"/>
  <c r="E98"/>
  <c r="H98" s="1"/>
  <c r="E147"/>
  <c r="C225"/>
  <c r="E234"/>
  <c r="C84"/>
  <c r="E37"/>
  <c r="E152"/>
  <c r="E238"/>
  <c r="E51"/>
  <c r="E88"/>
  <c r="E12"/>
  <c r="E15"/>
  <c r="H15" s="1"/>
  <c r="D286"/>
  <c r="C286"/>
  <c r="E232" i="119"/>
  <c r="H232" s="1"/>
  <c r="E130"/>
  <c r="E53"/>
  <c r="C65"/>
  <c r="E36"/>
  <c r="C25"/>
  <c r="E98"/>
  <c r="H98" s="1"/>
  <c r="E24"/>
  <c r="H79"/>
  <c r="E79"/>
  <c r="E20"/>
  <c r="E88"/>
  <c r="E208"/>
  <c r="E210"/>
  <c r="H210" s="1"/>
  <c r="E64"/>
  <c r="E67"/>
  <c r="E154"/>
  <c r="C194"/>
  <c r="C124"/>
  <c r="E221"/>
  <c r="H221" s="1"/>
  <c r="E26"/>
  <c r="E182"/>
  <c r="E203"/>
  <c r="E259"/>
  <c r="E39"/>
  <c r="E143"/>
  <c r="D65"/>
  <c r="D271" s="1"/>
  <c r="E50"/>
  <c r="E167"/>
  <c r="C270"/>
  <c r="D8" i="129"/>
  <c r="H8"/>
  <c r="H12" s="1"/>
  <c r="H20" s="1"/>
  <c r="H22" s="1"/>
  <c r="D30"/>
  <c r="H32"/>
  <c r="G32"/>
  <c r="D31"/>
  <c r="F32"/>
  <c r="C6"/>
  <c r="I30"/>
  <c r="E32"/>
  <c r="H67" i="119"/>
  <c r="C7" i="129"/>
  <c r="H30"/>
  <c r="D32"/>
  <c r="H236" i="120"/>
  <c r="H30" i="121"/>
  <c r="G30" i="129"/>
  <c r="I31"/>
  <c r="G12"/>
  <c r="G20" s="1"/>
  <c r="G22" s="1"/>
  <c r="I8"/>
  <c r="I12" s="1"/>
  <c r="I20" s="1"/>
  <c r="I22" s="1"/>
  <c r="F30"/>
  <c r="H31"/>
  <c r="D33"/>
  <c r="E30"/>
  <c r="G31"/>
  <c r="I32"/>
  <c r="V31" i="127"/>
  <c r="V33"/>
  <c r="BC31"/>
  <c r="BC33"/>
  <c r="I24" i="129"/>
  <c r="I23"/>
  <c r="F15" i="126"/>
  <c r="G18" i="125"/>
  <c r="M18" s="1"/>
  <c r="BA31" i="127"/>
  <c r="BA33"/>
  <c r="U31"/>
  <c r="U33"/>
  <c r="AN31"/>
  <c r="AN33"/>
  <c r="BB31"/>
  <c r="BB33"/>
  <c r="BO33"/>
  <c r="BO31"/>
  <c r="CB31"/>
  <c r="CB33"/>
  <c r="H24" i="129"/>
  <c r="H23"/>
  <c r="H88" i="119"/>
  <c r="H42" i="121"/>
  <c r="K35" i="127"/>
  <c r="BP31"/>
  <c r="BP33"/>
  <c r="AZ31"/>
  <c r="AZ33"/>
  <c r="T31"/>
  <c r="T33"/>
  <c r="AH33"/>
  <c r="AH31"/>
  <c r="BN31"/>
  <c r="BN33"/>
  <c r="CA31"/>
  <c r="CA33"/>
  <c r="G23" i="129"/>
  <c r="G24" s="1"/>
  <c r="G34" i="125"/>
  <c r="CF17" i="127"/>
  <c r="CF22" s="1"/>
  <c r="CF31" s="1"/>
  <c r="AO31"/>
  <c r="AO33"/>
  <c r="CC31"/>
  <c r="CC33"/>
  <c r="S31"/>
  <c r="S33"/>
  <c r="AG31"/>
  <c r="AG33"/>
  <c r="AT31"/>
  <c r="AT33"/>
  <c r="BM31"/>
  <c r="BM33"/>
  <c r="BZ33"/>
  <c r="BZ31"/>
  <c r="F23" i="129"/>
  <c r="F24" s="1"/>
  <c r="M30" i="125"/>
  <c r="R31" i="127"/>
  <c r="R33"/>
  <c r="AF31"/>
  <c r="AF33"/>
  <c r="AS33"/>
  <c r="AS31"/>
  <c r="BL31"/>
  <c r="BL33"/>
  <c r="BY31"/>
  <c r="BY33"/>
  <c r="E24" i="129"/>
  <c r="E23"/>
  <c r="G12" i="125"/>
  <c r="AB31" i="127"/>
  <c r="AB33"/>
  <c r="Q31"/>
  <c r="Q33"/>
  <c r="AE31"/>
  <c r="AE33"/>
  <c r="AR31"/>
  <c r="AR33"/>
  <c r="BF31"/>
  <c r="BF33"/>
  <c r="BX31"/>
  <c r="BX33"/>
  <c r="D24" i="129"/>
  <c r="D23"/>
  <c r="C36" i="123"/>
  <c r="G17" i="127"/>
  <c r="G22" s="1"/>
  <c r="G31" s="1"/>
  <c r="P31"/>
  <c r="P33"/>
  <c r="AD31"/>
  <c r="AD33"/>
  <c r="AQ31"/>
  <c r="AQ33"/>
  <c r="BE31"/>
  <c r="BE33"/>
  <c r="BR31"/>
  <c r="BR33"/>
  <c r="AC31"/>
  <c r="AC33"/>
  <c r="AP31"/>
  <c r="AP33"/>
  <c r="BD33"/>
  <c r="BD31"/>
  <c r="BQ31"/>
  <c r="BQ33"/>
  <c r="CD31"/>
  <c r="CD33"/>
  <c r="M36" i="125"/>
  <c r="AV17" i="127"/>
  <c r="AV22" s="1"/>
  <c r="K34"/>
  <c r="F12" i="129"/>
  <c r="F20" s="1"/>
  <c r="F22" s="1"/>
  <c r="H226" i="120"/>
  <c r="L25" i="125"/>
  <c r="L29"/>
  <c r="J11" i="127"/>
  <c r="K11" s="1"/>
  <c r="J19"/>
  <c r="J21" s="1"/>
  <c r="CE21"/>
  <c r="CE22" s="1"/>
  <c r="CE31" s="1"/>
  <c r="J25"/>
  <c r="D11" i="129"/>
  <c r="F17" i="130"/>
  <c r="G25" i="125"/>
  <c r="G24" s="1"/>
  <c r="G29"/>
  <c r="G28" s="1"/>
  <c r="E34"/>
  <c r="L55"/>
  <c r="M55" s="1"/>
  <c r="J14" i="127"/>
  <c r="K14" s="1"/>
  <c r="BG15"/>
  <c r="BH15" s="1"/>
  <c r="AV25"/>
  <c r="AV30" s="1"/>
  <c r="X27"/>
  <c r="J29"/>
  <c r="K29" s="1"/>
  <c r="J34"/>
  <c r="F16" i="130"/>
  <c r="X10" i="127"/>
  <c r="BT10"/>
  <c r="BT17" s="1"/>
  <c r="BT22" s="1"/>
  <c r="BT31" s="1"/>
  <c r="BH12"/>
  <c r="BH20"/>
  <c r="BH21" s="1"/>
  <c r="E29" i="123"/>
  <c r="E36" s="1"/>
  <c r="E18" i="125"/>
  <c r="X13" i="127"/>
  <c r="W15"/>
  <c r="X15" s="1"/>
  <c r="AJ19"/>
  <c r="AJ21" s="1"/>
  <c r="AJ25"/>
  <c r="AJ30" s="1"/>
  <c r="BH27"/>
  <c r="BH30" s="1"/>
  <c r="J28"/>
  <c r="K28" s="1"/>
  <c r="E8" i="129"/>
  <c r="E12" s="1"/>
  <c r="E20" s="1"/>
  <c r="E22" s="1"/>
  <c r="J10" i="127"/>
  <c r="K10" s="1"/>
  <c r="I15"/>
  <c r="I17" s="1"/>
  <c r="I22" s="1"/>
  <c r="X19"/>
  <c r="X21" s="1"/>
  <c r="C21"/>
  <c r="X25"/>
  <c r="C9" i="129"/>
  <c r="C11" s="1"/>
  <c r="E12" i="125"/>
  <c r="E10" s="1"/>
  <c r="H45" i="130" l="1"/>
  <c r="F18"/>
  <c r="H18" s="1"/>
  <c r="H10" s="1"/>
  <c r="J53" s="1"/>
  <c r="P62" s="1"/>
  <c r="Q62" s="1"/>
  <c r="D31" i="127"/>
  <c r="AJ22"/>
  <c r="X30"/>
  <c r="H31"/>
  <c r="W17"/>
  <c r="W22" s="1"/>
  <c r="W31" s="1"/>
  <c r="AI31"/>
  <c r="C22"/>
  <c r="C31" s="1"/>
  <c r="I31"/>
  <c r="BG17"/>
  <c r="BG22" s="1"/>
  <c r="BG31" s="1"/>
  <c r="F31"/>
  <c r="BH17"/>
  <c r="BH22" s="1"/>
  <c r="BH31" s="1"/>
  <c r="J15"/>
  <c r="K15" s="1"/>
  <c r="K17" s="1"/>
  <c r="F16" i="126"/>
  <c r="E43" i="125"/>
  <c r="M29"/>
  <c r="M25"/>
  <c r="G10"/>
  <c r="G43" s="1"/>
  <c r="AJ31" i="127"/>
  <c r="G33"/>
  <c r="AI33"/>
  <c r="AJ33" s="1"/>
  <c r="BG33"/>
  <c r="BH33" s="1"/>
  <c r="M12" i="125"/>
  <c r="E48" i="124"/>
  <c r="C49"/>
  <c r="E29"/>
  <c r="E24" i="123"/>
  <c r="D189" i="120"/>
  <c r="D287" s="1"/>
  <c r="E84"/>
  <c r="E260"/>
  <c r="C189"/>
  <c r="C287" s="1"/>
  <c r="H51"/>
  <c r="E286"/>
  <c r="E97"/>
  <c r="E225"/>
  <c r="E169"/>
  <c r="E48"/>
  <c r="E25" i="119"/>
  <c r="E194"/>
  <c r="C271"/>
  <c r="E65"/>
  <c r="E124"/>
  <c r="H143"/>
  <c r="E270"/>
  <c r="D12" i="129"/>
  <c r="D20" s="1"/>
  <c r="D22" s="1"/>
  <c r="C22" s="1"/>
  <c r="C8"/>
  <c r="C12" s="1"/>
  <c r="C20" s="1"/>
  <c r="I33" i="127"/>
  <c r="AV31"/>
  <c r="CE33"/>
  <c r="CF33" s="1"/>
  <c r="E33"/>
  <c r="H33"/>
  <c r="C23" i="129"/>
  <c r="C24" s="1"/>
  <c r="BT33" i="127"/>
  <c r="BS33"/>
  <c r="F33"/>
  <c r="C33"/>
  <c r="X17"/>
  <c r="K19"/>
  <c r="K21" s="1"/>
  <c r="AU33"/>
  <c r="AV33" s="1"/>
  <c r="K25"/>
  <c r="K30" s="1"/>
  <c r="J30"/>
  <c r="W33"/>
  <c r="X33" s="1"/>
  <c r="D33"/>
  <c r="H7" i="130" l="1"/>
  <c r="X22" i="127"/>
  <c r="X31" s="1"/>
  <c r="J17"/>
  <c r="J22" s="1"/>
  <c r="J31" s="1"/>
  <c r="K33"/>
  <c r="L33" s="1"/>
  <c r="M33" s="1"/>
  <c r="E49" i="124"/>
  <c r="G28" i="123" s="1"/>
  <c r="H28" s="1"/>
  <c r="E189" i="120"/>
  <c r="E287" s="1"/>
  <c r="E271" i="119"/>
  <c r="K22" i="127"/>
  <c r="K31" s="1"/>
  <c r="J33"/>
  <c r="J37" l="1"/>
  <c r="AE272" i="85"/>
  <c r="AE255"/>
  <c r="AE232"/>
  <c r="AE223"/>
  <c r="U255"/>
  <c r="U232"/>
  <c r="G27" i="79" l="1"/>
  <c r="D27"/>
  <c r="AH245" i="85" l="1"/>
  <c r="AH232"/>
  <c r="AC232"/>
  <c r="AC223"/>
  <c r="AH221"/>
  <c r="AJ39" i="84"/>
  <c r="P94"/>
  <c r="E17" i="79"/>
  <c r="G17" s="1"/>
  <c r="F17" i="78" l="1"/>
  <c r="H17" s="1"/>
  <c r="F14"/>
  <c r="H14" s="1"/>
  <c r="F13"/>
  <c r="H13" s="1"/>
  <c r="H10"/>
  <c r="H9"/>
  <c r="L38" i="73" l="1"/>
  <c r="L36"/>
  <c r="H36"/>
  <c r="L35"/>
  <c r="H35"/>
  <c r="H34"/>
  <c r="L34"/>
  <c r="H32"/>
  <c r="L32"/>
  <c r="L19"/>
  <c r="H19"/>
  <c r="J248" i="116"/>
  <c r="J252" s="1"/>
  <c r="J235" s="1"/>
  <c r="J241" s="1"/>
  <c r="F248"/>
  <c r="Q248"/>
  <c r="U248"/>
  <c r="U252" s="1"/>
  <c r="U235" s="1"/>
  <c r="U241" s="1"/>
  <c r="F223"/>
  <c r="J223"/>
  <c r="J227" s="1"/>
  <c r="J210" s="1"/>
  <c r="J216" s="1"/>
  <c r="F323"/>
  <c r="J323"/>
  <c r="J327" s="1"/>
  <c r="J310" s="1"/>
  <c r="J316" s="1"/>
  <c r="U48"/>
  <c r="U52" s="1"/>
  <c r="U35" s="1"/>
  <c r="U41" s="1"/>
  <c r="Q48"/>
  <c r="U11" i="85"/>
  <c r="J10" i="78" l="1"/>
  <c r="B9"/>
  <c r="J9" s="1"/>
  <c r="G136" i="85" l="1"/>
  <c r="G134"/>
  <c r="G132"/>
  <c r="G128"/>
  <c r="G126"/>
  <c r="G124"/>
  <c r="G120"/>
  <c r="G118"/>
  <c r="G116"/>
  <c r="G115"/>
  <c r="G114"/>
  <c r="G110"/>
  <c r="G108"/>
  <c r="G106"/>
  <c r="G105"/>
  <c r="G104"/>
  <c r="G100"/>
  <c r="G98"/>
  <c r="G97"/>
  <c r="G96"/>
  <c r="G94"/>
  <c r="G93"/>
  <c r="G92"/>
  <c r="G88"/>
  <c r="G86"/>
  <c r="G85"/>
  <c r="G83"/>
  <c r="G82"/>
  <c r="G81"/>
  <c r="G80"/>
  <c r="G79"/>
  <c r="G78"/>
  <c r="G77"/>
  <c r="G76"/>
  <c r="U94"/>
  <c r="U126"/>
  <c r="AV272" i="84"/>
  <c r="AU272"/>
  <c r="AR272"/>
  <c r="AQ272"/>
  <c r="AN272"/>
  <c r="AP272" s="1"/>
  <c r="AM272"/>
  <c r="AF272"/>
  <c r="AE272"/>
  <c r="AB272"/>
  <c r="AA272"/>
  <c r="X272"/>
  <c r="Z272" s="1"/>
  <c r="W272"/>
  <c r="T272"/>
  <c r="V272" s="1"/>
  <c r="S272"/>
  <c r="P272"/>
  <c r="O272"/>
  <c r="AF280"/>
  <c r="AF292"/>
  <c r="AF313"/>
  <c r="C80" i="70"/>
  <c r="D134" i="109"/>
  <c r="D76"/>
  <c r="D76" i="97"/>
  <c r="D134" i="66"/>
  <c r="D76"/>
  <c r="D241" i="64"/>
  <c r="R272" i="84" l="1"/>
  <c r="U266" i="85"/>
  <c r="U234"/>
  <c r="F80" i="70"/>
  <c r="I80"/>
  <c r="H68" i="78"/>
  <c r="J68"/>
  <c r="L27" i="73"/>
  <c r="H27"/>
  <c r="H24"/>
  <c r="L24"/>
  <c r="U148" i="116"/>
  <c r="U152" s="1"/>
  <c r="U135" s="1"/>
  <c r="U141" s="1"/>
  <c r="Q148"/>
  <c r="J123"/>
  <c r="J127" s="1"/>
  <c r="J110" s="1"/>
  <c r="J116" s="1"/>
  <c r="F123"/>
  <c r="U221" i="85" l="1"/>
  <c r="F77" i="77"/>
  <c r="G77" s="1"/>
  <c r="D77"/>
  <c r="A217" i="85" l="1"/>
  <c r="A218" s="1"/>
  <c r="A219" s="1"/>
  <c r="A220" s="1"/>
  <c r="A221" s="1"/>
  <c r="A222" s="1"/>
  <c r="A223" s="1"/>
  <c r="A225" s="1"/>
  <c r="A226" s="1"/>
  <c r="A228" s="1"/>
  <c r="A232" s="1"/>
  <c r="A233" s="1"/>
  <c r="A234" s="1"/>
  <c r="A236" s="1"/>
  <c r="A237" s="1"/>
  <c r="A238" s="1"/>
  <c r="A240" s="1"/>
  <c r="A244" s="1"/>
  <c r="A245" s="1"/>
  <c r="A246" s="1"/>
  <c r="A248" s="1"/>
  <c r="A250" s="1"/>
  <c r="A254" s="1"/>
  <c r="A255" s="1"/>
  <c r="A256" s="1"/>
  <c r="A258" s="1"/>
  <c r="A260" s="1"/>
  <c r="A264" s="1"/>
  <c r="A266" s="1"/>
  <c r="A268" s="1"/>
  <c r="A272" s="1"/>
  <c r="A274" s="1"/>
  <c r="A276" s="1"/>
  <c r="A147"/>
  <c r="A148" s="1"/>
  <c r="A149" s="1"/>
  <c r="A150" s="1"/>
  <c r="A151" s="1"/>
  <c r="A152" s="1"/>
  <c r="A153" s="1"/>
  <c r="A155" s="1"/>
  <c r="A156" s="1"/>
  <c r="A158" s="1"/>
  <c r="A162" s="1"/>
  <c r="A163" s="1"/>
  <c r="A164" s="1"/>
  <c r="A166" s="1"/>
  <c r="A167" s="1"/>
  <c r="A168" s="1"/>
  <c r="A170" s="1"/>
  <c r="A174" s="1"/>
  <c r="A175" s="1"/>
  <c r="A176" s="1"/>
  <c r="A178" s="1"/>
  <c r="A180" s="1"/>
  <c r="A184" s="1"/>
  <c r="A185" s="1"/>
  <c r="A186" s="1"/>
  <c r="A188" s="1"/>
  <c r="A190" s="1"/>
  <c r="A194" s="1"/>
  <c r="A196" s="1"/>
  <c r="A198" s="1"/>
  <c r="A202" s="1"/>
  <c r="A204" s="1"/>
  <c r="A206" s="1"/>
  <c r="A77"/>
  <c r="A78" s="1"/>
  <c r="A79" s="1"/>
  <c r="A80" s="1"/>
  <c r="A81" s="1"/>
  <c r="A82" s="1"/>
  <c r="A83" s="1"/>
  <c r="A85" s="1"/>
  <c r="A86" s="1"/>
  <c r="A88" s="1"/>
  <c r="A92" s="1"/>
  <c r="A93" s="1"/>
  <c r="A94" s="1"/>
  <c r="A96" s="1"/>
  <c r="A97" s="1"/>
  <c r="A98" s="1"/>
  <c r="A100" s="1"/>
  <c r="A104" s="1"/>
  <c r="A105" s="1"/>
  <c r="A106" s="1"/>
  <c r="A108" s="1"/>
  <c r="A110" s="1"/>
  <c r="A114" s="1"/>
  <c r="A115" s="1"/>
  <c r="A116" s="1"/>
  <c r="A118" s="1"/>
  <c r="A120" s="1"/>
  <c r="A124" s="1"/>
  <c r="A126" s="1"/>
  <c r="A128" s="1"/>
  <c r="A132" s="1"/>
  <c r="A134" s="1"/>
  <c r="A136" s="1"/>
  <c r="U6"/>
  <c r="U76"/>
  <c r="U146"/>
  <c r="R6"/>
  <c r="R76"/>
  <c r="R146"/>
  <c r="Q6"/>
  <c r="Q76"/>
  <c r="Q146"/>
  <c r="P6"/>
  <c r="P76"/>
  <c r="P146"/>
  <c r="O6"/>
  <c r="O76"/>
  <c r="O146"/>
  <c r="N6"/>
  <c r="N76"/>
  <c r="N146"/>
  <c r="M6"/>
  <c r="M76"/>
  <c r="M146"/>
  <c r="L6"/>
  <c r="L76"/>
  <c r="L146"/>
  <c r="K6"/>
  <c r="K76"/>
  <c r="K146"/>
  <c r="I6"/>
  <c r="I76"/>
  <c r="I146"/>
  <c r="H6"/>
  <c r="H76"/>
  <c r="H146"/>
  <c r="G6"/>
  <c r="G146"/>
  <c r="G216" s="1"/>
  <c r="F6"/>
  <c r="F76"/>
  <c r="F146"/>
  <c r="E6"/>
  <c r="E76"/>
  <c r="E146"/>
  <c r="D6"/>
  <c r="D76"/>
  <c r="D146"/>
  <c r="C6"/>
  <c r="C76"/>
  <c r="C146"/>
  <c r="Q318" i="84"/>
  <c r="Q316"/>
  <c r="Q314"/>
  <c r="Q306"/>
  <c r="Q304"/>
  <c r="Q301"/>
  <c r="Q297"/>
  <c r="Q295"/>
  <c r="Q293"/>
  <c r="Q285"/>
  <c r="Q283"/>
  <c r="Q281"/>
  <c r="Q286" s="1"/>
  <c r="Q252"/>
  <c r="Q250"/>
  <c r="Q243"/>
  <c r="R216" i="85" l="1"/>
  <c r="N216"/>
  <c r="I216"/>
  <c r="H216"/>
  <c r="D216"/>
  <c r="C216"/>
  <c r="F216"/>
  <c r="E216"/>
  <c r="O216"/>
  <c r="Q307" i="84"/>
  <c r="Q216" i="85"/>
  <c r="P216"/>
  <c r="M216"/>
  <c r="L216"/>
  <c r="K216"/>
  <c r="Q273" i="84"/>
  <c r="Q253"/>
  <c r="U216" i="85"/>
  <c r="Q298" i="84"/>
  <c r="Q319"/>
  <c r="S76" i="85"/>
  <c r="J146"/>
  <c r="J76"/>
  <c r="S146"/>
  <c r="J216" l="1"/>
  <c r="S216"/>
  <c r="Q321" i="84"/>
  <c r="T146" i="85"/>
  <c r="T76"/>
  <c r="T216" l="1"/>
  <c r="K317" i="84"/>
  <c r="K318" s="1"/>
  <c r="K315"/>
  <c r="K316" s="1"/>
  <c r="K313"/>
  <c r="K312"/>
  <c r="K311"/>
  <c r="K310"/>
  <c r="K309"/>
  <c r="K305"/>
  <c r="K303"/>
  <c r="K302"/>
  <c r="K304" s="1"/>
  <c r="K300"/>
  <c r="K296"/>
  <c r="K297" s="1"/>
  <c r="K294"/>
  <c r="K295" s="1"/>
  <c r="K292"/>
  <c r="K291"/>
  <c r="K290"/>
  <c r="K289"/>
  <c r="K288"/>
  <c r="K284"/>
  <c r="K285" s="1"/>
  <c r="K282"/>
  <c r="K283" s="1"/>
  <c r="K280"/>
  <c r="K279"/>
  <c r="K278"/>
  <c r="K277"/>
  <c r="K276"/>
  <c r="K275"/>
  <c r="K271"/>
  <c r="K270"/>
  <c r="K269"/>
  <c r="K268"/>
  <c r="K267"/>
  <c r="K266"/>
  <c r="K265"/>
  <c r="K263"/>
  <c r="K262"/>
  <c r="K261"/>
  <c r="K259"/>
  <c r="K258"/>
  <c r="K257"/>
  <c r="K256"/>
  <c r="K255"/>
  <c r="K251"/>
  <c r="K252" s="1"/>
  <c r="K249"/>
  <c r="K248"/>
  <c r="K247"/>
  <c r="K246"/>
  <c r="K245"/>
  <c r="K244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55"/>
  <c r="K156" s="1"/>
  <c r="K153"/>
  <c r="K154" s="1"/>
  <c r="K151"/>
  <c r="K150"/>
  <c r="K149"/>
  <c r="K148"/>
  <c r="K147"/>
  <c r="K143"/>
  <c r="K144" s="1"/>
  <c r="K141"/>
  <c r="K140"/>
  <c r="K138"/>
  <c r="K139" s="1"/>
  <c r="K134"/>
  <c r="K135" s="1"/>
  <c r="K132"/>
  <c r="K130"/>
  <c r="K129"/>
  <c r="K128"/>
  <c r="K127"/>
  <c r="K126"/>
  <c r="K122"/>
  <c r="K123" s="1"/>
  <c r="K120"/>
  <c r="K121" s="1"/>
  <c r="K118"/>
  <c r="K117"/>
  <c r="K116"/>
  <c r="K115"/>
  <c r="K114"/>
  <c r="K113"/>
  <c r="K109"/>
  <c r="K108"/>
  <c r="K107"/>
  <c r="K106"/>
  <c r="K105"/>
  <c r="K104"/>
  <c r="K103"/>
  <c r="K101"/>
  <c r="K100"/>
  <c r="K99"/>
  <c r="K97"/>
  <c r="K96"/>
  <c r="K95"/>
  <c r="K94"/>
  <c r="K93"/>
  <c r="K89"/>
  <c r="K90" s="1"/>
  <c r="K87"/>
  <c r="K86"/>
  <c r="K85"/>
  <c r="K84"/>
  <c r="K83"/>
  <c r="K82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L317"/>
  <c r="L318" s="1"/>
  <c r="L315"/>
  <c r="L313"/>
  <c r="L312"/>
  <c r="L311"/>
  <c r="L310"/>
  <c r="L309"/>
  <c r="L305"/>
  <c r="L306" s="1"/>
  <c r="L303"/>
  <c r="L302"/>
  <c r="L300"/>
  <c r="L301" s="1"/>
  <c r="L296"/>
  <c r="L294"/>
  <c r="L295" s="1"/>
  <c r="L292"/>
  <c r="L291"/>
  <c r="L290"/>
  <c r="L289"/>
  <c r="L288"/>
  <c r="L284"/>
  <c r="L282"/>
  <c r="L283" s="1"/>
  <c r="L280"/>
  <c r="L279"/>
  <c r="L278"/>
  <c r="L277"/>
  <c r="L276"/>
  <c r="L275"/>
  <c r="L271"/>
  <c r="L270"/>
  <c r="L269"/>
  <c r="L268"/>
  <c r="L267"/>
  <c r="L266"/>
  <c r="L265"/>
  <c r="L263"/>
  <c r="L262"/>
  <c r="L261"/>
  <c r="L259"/>
  <c r="L258"/>
  <c r="L257"/>
  <c r="L256"/>
  <c r="L255"/>
  <c r="L251"/>
  <c r="L252" s="1"/>
  <c r="L249"/>
  <c r="L248"/>
  <c r="L247"/>
  <c r="L246"/>
  <c r="L250" s="1"/>
  <c r="L245"/>
  <c r="L244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56"/>
  <c r="L155"/>
  <c r="L153"/>
  <c r="L151"/>
  <c r="L150"/>
  <c r="L149"/>
  <c r="L148"/>
  <c r="L147"/>
  <c r="L143"/>
  <c r="L144" s="1"/>
  <c r="L141"/>
  <c r="L140"/>
  <c r="L138"/>
  <c r="L134"/>
  <c r="L135" s="1"/>
  <c r="L132"/>
  <c r="L133" s="1"/>
  <c r="L130"/>
  <c r="L129"/>
  <c r="L128"/>
  <c r="L127"/>
  <c r="L126"/>
  <c r="L122"/>
  <c r="L123" s="1"/>
  <c r="L120"/>
  <c r="L121" s="1"/>
  <c r="L118"/>
  <c r="L117"/>
  <c r="L116"/>
  <c r="L115"/>
  <c r="L114"/>
  <c r="L113"/>
  <c r="L109"/>
  <c r="L108"/>
  <c r="L107"/>
  <c r="L106"/>
  <c r="L105"/>
  <c r="L104"/>
  <c r="L103"/>
  <c r="L101"/>
  <c r="L100"/>
  <c r="L99"/>
  <c r="L97"/>
  <c r="L96"/>
  <c r="L95"/>
  <c r="L94"/>
  <c r="L93"/>
  <c r="L89"/>
  <c r="L87"/>
  <c r="L86"/>
  <c r="L85"/>
  <c r="L84"/>
  <c r="L83"/>
  <c r="L82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M317"/>
  <c r="N317" s="1"/>
  <c r="M315"/>
  <c r="N315" s="1"/>
  <c r="M313"/>
  <c r="N313" s="1"/>
  <c r="M312"/>
  <c r="N312" s="1"/>
  <c r="M311"/>
  <c r="N311" s="1"/>
  <c r="M310"/>
  <c r="M309"/>
  <c r="N309" s="1"/>
  <c r="M305"/>
  <c r="N305" s="1"/>
  <c r="M303"/>
  <c r="N303" s="1"/>
  <c r="M302"/>
  <c r="N302" s="1"/>
  <c r="M300"/>
  <c r="N300" s="1"/>
  <c r="M296"/>
  <c r="N296" s="1"/>
  <c r="M294"/>
  <c r="N294" s="1"/>
  <c r="M292"/>
  <c r="N292" s="1"/>
  <c r="M291"/>
  <c r="M290"/>
  <c r="M289"/>
  <c r="N289" s="1"/>
  <c r="M288"/>
  <c r="M284"/>
  <c r="N284" s="1"/>
  <c r="M282"/>
  <c r="N282" s="1"/>
  <c r="M280"/>
  <c r="N280" s="1"/>
  <c r="M279"/>
  <c r="M278"/>
  <c r="N278" s="1"/>
  <c r="M277"/>
  <c r="N277" s="1"/>
  <c r="M276"/>
  <c r="N276" s="1"/>
  <c r="M275"/>
  <c r="N275" s="1"/>
  <c r="M271"/>
  <c r="N271" s="1"/>
  <c r="M270"/>
  <c r="N270" s="1"/>
  <c r="M269"/>
  <c r="N269" s="1"/>
  <c r="M268"/>
  <c r="M267"/>
  <c r="N267" s="1"/>
  <c r="M266"/>
  <c r="N266" s="1"/>
  <c r="M265"/>
  <c r="M263"/>
  <c r="N263" s="1"/>
  <c r="M262"/>
  <c r="N262" s="1"/>
  <c r="M261"/>
  <c r="M259"/>
  <c r="N259" s="1"/>
  <c r="M258"/>
  <c r="M257"/>
  <c r="N257" s="1"/>
  <c r="M256"/>
  <c r="N256" s="1"/>
  <c r="M255"/>
  <c r="N255" s="1"/>
  <c r="M251"/>
  <c r="N251" s="1"/>
  <c r="M249"/>
  <c r="N249" s="1"/>
  <c r="M248"/>
  <c r="N248" s="1"/>
  <c r="M247"/>
  <c r="N247" s="1"/>
  <c r="M246"/>
  <c r="N246" s="1"/>
  <c r="M245"/>
  <c r="N245" s="1"/>
  <c r="M244"/>
  <c r="N244" s="1"/>
  <c r="M242"/>
  <c r="N242" s="1"/>
  <c r="M241"/>
  <c r="N241" s="1"/>
  <c r="M240"/>
  <c r="N240" s="1"/>
  <c r="M239"/>
  <c r="N239" s="1"/>
  <c r="M238"/>
  <c r="N238" s="1"/>
  <c r="M237"/>
  <c r="M236"/>
  <c r="N236" s="1"/>
  <c r="M235"/>
  <c r="N235" s="1"/>
  <c r="M234"/>
  <c r="N234" s="1"/>
  <c r="M233"/>
  <c r="N233" s="1"/>
  <c r="M232"/>
  <c r="N232" s="1"/>
  <c r="M231"/>
  <c r="N231" s="1"/>
  <c r="M230"/>
  <c r="N230" s="1"/>
  <c r="M229"/>
  <c r="M228"/>
  <c r="N228" s="1"/>
  <c r="M227"/>
  <c r="N227" s="1"/>
  <c r="M226"/>
  <c r="N226" s="1"/>
  <c r="M225"/>
  <c r="N225" s="1"/>
  <c r="M224"/>
  <c r="N224" s="1"/>
  <c r="M223"/>
  <c r="N223" s="1"/>
  <c r="M222"/>
  <c r="N222" s="1"/>
  <c r="M221"/>
  <c r="N221" s="1"/>
  <c r="M220"/>
  <c r="N220" s="1"/>
  <c r="M219"/>
  <c r="N219" s="1"/>
  <c r="M218"/>
  <c r="N218" s="1"/>
  <c r="M217"/>
  <c r="N217" s="1"/>
  <c r="M216"/>
  <c r="N216" s="1"/>
  <c r="M215"/>
  <c r="N215" s="1"/>
  <c r="M214"/>
  <c r="N214" s="1"/>
  <c r="M213"/>
  <c r="N213" s="1"/>
  <c r="M212"/>
  <c r="N212" s="1"/>
  <c r="M211"/>
  <c r="N211" s="1"/>
  <c r="M210"/>
  <c r="N210" s="1"/>
  <c r="M209"/>
  <c r="N209" s="1"/>
  <c r="M208"/>
  <c r="N208" s="1"/>
  <c r="M207"/>
  <c r="N207" s="1"/>
  <c r="M206"/>
  <c r="N206" s="1"/>
  <c r="M205"/>
  <c r="M204"/>
  <c r="N204" s="1"/>
  <c r="M203"/>
  <c r="N203" s="1"/>
  <c r="M202"/>
  <c r="N202" s="1"/>
  <c r="M201"/>
  <c r="N201" s="1"/>
  <c r="M200"/>
  <c r="N200" s="1"/>
  <c r="M199"/>
  <c r="N199" s="1"/>
  <c r="M198"/>
  <c r="N198" s="1"/>
  <c r="M197"/>
  <c r="M196"/>
  <c r="N196" s="1"/>
  <c r="M195"/>
  <c r="N195" s="1"/>
  <c r="M194"/>
  <c r="N194" s="1"/>
  <c r="M193"/>
  <c r="N193" s="1"/>
  <c r="M192"/>
  <c r="N192" s="1"/>
  <c r="M191"/>
  <c r="N191" s="1"/>
  <c r="M190"/>
  <c r="N190" s="1"/>
  <c r="M189"/>
  <c r="M188"/>
  <c r="N188" s="1"/>
  <c r="M187"/>
  <c r="N187" s="1"/>
  <c r="M186"/>
  <c r="N186" s="1"/>
  <c r="M185"/>
  <c r="N185" s="1"/>
  <c r="M184"/>
  <c r="N184" s="1"/>
  <c r="M183"/>
  <c r="N183" s="1"/>
  <c r="M182"/>
  <c r="N182" s="1"/>
  <c r="M181"/>
  <c r="M180"/>
  <c r="N180" s="1"/>
  <c r="M179"/>
  <c r="N179" s="1"/>
  <c r="M178"/>
  <c r="N178" s="1"/>
  <c r="M177"/>
  <c r="N177" s="1"/>
  <c r="M176"/>
  <c r="N176" s="1"/>
  <c r="M175"/>
  <c r="N175" s="1"/>
  <c r="M174"/>
  <c r="N174" s="1"/>
  <c r="M173"/>
  <c r="M172"/>
  <c r="N172" s="1"/>
  <c r="M171"/>
  <c r="M170"/>
  <c r="N170" s="1"/>
  <c r="M155"/>
  <c r="N155" s="1"/>
  <c r="M153"/>
  <c r="M151"/>
  <c r="N151" s="1"/>
  <c r="M150"/>
  <c r="N150" s="1"/>
  <c r="M149"/>
  <c r="N149" s="1"/>
  <c r="M148"/>
  <c r="N148" s="1"/>
  <c r="M147"/>
  <c r="N147" s="1"/>
  <c r="M143"/>
  <c r="M141"/>
  <c r="N141" s="1"/>
  <c r="M140"/>
  <c r="M138"/>
  <c r="N138" s="1"/>
  <c r="M134"/>
  <c r="M132"/>
  <c r="N132" s="1"/>
  <c r="M130"/>
  <c r="N130" s="1"/>
  <c r="M129"/>
  <c r="N129" s="1"/>
  <c r="M128"/>
  <c r="N128" s="1"/>
  <c r="M127"/>
  <c r="N127" s="1"/>
  <c r="M126"/>
  <c r="N126" s="1"/>
  <c r="M122"/>
  <c r="M120"/>
  <c r="N120" s="1"/>
  <c r="M118"/>
  <c r="N118" s="1"/>
  <c r="M117"/>
  <c r="N117" s="1"/>
  <c r="M116"/>
  <c r="N116" s="1"/>
  <c r="M115"/>
  <c r="N115" s="1"/>
  <c r="M114"/>
  <c r="N114" s="1"/>
  <c r="M113"/>
  <c r="N113" s="1"/>
  <c r="M109"/>
  <c r="N109" s="1"/>
  <c r="M108"/>
  <c r="N108" s="1"/>
  <c r="M107"/>
  <c r="N107" s="1"/>
  <c r="M106"/>
  <c r="N106" s="1"/>
  <c r="M105"/>
  <c r="N105" s="1"/>
  <c r="M104"/>
  <c r="N104" s="1"/>
  <c r="M103"/>
  <c r="N103" s="1"/>
  <c r="M101"/>
  <c r="N101" s="1"/>
  <c r="M100"/>
  <c r="N100" s="1"/>
  <c r="M99"/>
  <c r="M97"/>
  <c r="N97" s="1"/>
  <c r="M96"/>
  <c r="N96" s="1"/>
  <c r="M95"/>
  <c r="N95" s="1"/>
  <c r="M94"/>
  <c r="N94" s="1"/>
  <c r="M93"/>
  <c r="N93" s="1"/>
  <c r="M89"/>
  <c r="M87"/>
  <c r="N87" s="1"/>
  <c r="M86"/>
  <c r="N86" s="1"/>
  <c r="M85"/>
  <c r="N85" s="1"/>
  <c r="M84"/>
  <c r="N84" s="1"/>
  <c r="M83"/>
  <c r="N83" s="1"/>
  <c r="M82"/>
  <c r="N82" s="1"/>
  <c r="M80"/>
  <c r="N80" s="1"/>
  <c r="M79"/>
  <c r="N79" s="1"/>
  <c r="M78"/>
  <c r="N78" s="1"/>
  <c r="M77"/>
  <c r="N77" s="1"/>
  <c r="M76"/>
  <c r="N76" s="1"/>
  <c r="M75"/>
  <c r="N75" s="1"/>
  <c r="M74"/>
  <c r="N74" s="1"/>
  <c r="M73"/>
  <c r="N73" s="1"/>
  <c r="M72"/>
  <c r="N72" s="1"/>
  <c r="M71"/>
  <c r="N71" s="1"/>
  <c r="M70"/>
  <c r="N70" s="1"/>
  <c r="M69"/>
  <c r="N69" s="1"/>
  <c r="M68"/>
  <c r="N68" s="1"/>
  <c r="M67"/>
  <c r="N67" s="1"/>
  <c r="M66"/>
  <c r="N66" s="1"/>
  <c r="M65"/>
  <c r="N65" s="1"/>
  <c r="M64"/>
  <c r="N64" s="1"/>
  <c r="M63"/>
  <c r="N63" s="1"/>
  <c r="M62"/>
  <c r="N62" s="1"/>
  <c r="M61"/>
  <c r="N61" s="1"/>
  <c r="M60"/>
  <c r="N60" s="1"/>
  <c r="M59"/>
  <c r="N59" s="1"/>
  <c r="M58"/>
  <c r="N58" s="1"/>
  <c r="M57"/>
  <c r="N57" s="1"/>
  <c r="M56"/>
  <c r="N56" s="1"/>
  <c r="M55"/>
  <c r="N55" s="1"/>
  <c r="M54"/>
  <c r="N54" s="1"/>
  <c r="M53"/>
  <c r="N53" s="1"/>
  <c r="M52"/>
  <c r="N52" s="1"/>
  <c r="M51"/>
  <c r="N51" s="1"/>
  <c r="M50"/>
  <c r="N50" s="1"/>
  <c r="M49"/>
  <c r="N49" s="1"/>
  <c r="M48"/>
  <c r="N48" s="1"/>
  <c r="M47"/>
  <c r="N47" s="1"/>
  <c r="M46"/>
  <c r="N46" s="1"/>
  <c r="M45"/>
  <c r="N45" s="1"/>
  <c r="M44"/>
  <c r="N44" s="1"/>
  <c r="M43"/>
  <c r="N43" s="1"/>
  <c r="M42"/>
  <c r="N42" s="1"/>
  <c r="M41"/>
  <c r="N41" s="1"/>
  <c r="M40"/>
  <c r="N40" s="1"/>
  <c r="M39"/>
  <c r="N39" s="1"/>
  <c r="M38"/>
  <c r="N38" s="1"/>
  <c r="M37"/>
  <c r="N37" s="1"/>
  <c r="M36"/>
  <c r="N36" s="1"/>
  <c r="M35"/>
  <c r="N35" s="1"/>
  <c r="M3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M12"/>
  <c r="N12" s="1"/>
  <c r="M11"/>
  <c r="N11" s="1"/>
  <c r="M10"/>
  <c r="N10" s="1"/>
  <c r="M9"/>
  <c r="N9" s="1"/>
  <c r="M8"/>
  <c r="N8" s="1"/>
  <c r="O318"/>
  <c r="O316"/>
  <c r="O314"/>
  <c r="O306"/>
  <c r="O304"/>
  <c r="O301"/>
  <c r="O307" s="1"/>
  <c r="O297"/>
  <c r="O295"/>
  <c r="O293"/>
  <c r="O285"/>
  <c r="O283"/>
  <c r="O281"/>
  <c r="O264"/>
  <c r="O260"/>
  <c r="O252"/>
  <c r="O250"/>
  <c r="O243"/>
  <c r="O156"/>
  <c r="O154"/>
  <c r="O152"/>
  <c r="O144"/>
  <c r="O142"/>
  <c r="O139"/>
  <c r="O135"/>
  <c r="O133"/>
  <c r="O131"/>
  <c r="O123"/>
  <c r="O121"/>
  <c r="O119"/>
  <c r="O110"/>
  <c r="O102"/>
  <c r="O98"/>
  <c r="O90"/>
  <c r="O88"/>
  <c r="O81"/>
  <c r="P318"/>
  <c r="P316"/>
  <c r="P314"/>
  <c r="R314" s="1"/>
  <c r="P306"/>
  <c r="P304"/>
  <c r="R304" s="1"/>
  <c r="P301"/>
  <c r="P297"/>
  <c r="P295"/>
  <c r="P293"/>
  <c r="R293" s="1"/>
  <c r="P285"/>
  <c r="P283"/>
  <c r="P281"/>
  <c r="P264"/>
  <c r="R264" s="1"/>
  <c r="P260"/>
  <c r="R260" s="1"/>
  <c r="P252"/>
  <c r="P250"/>
  <c r="P243"/>
  <c r="R243" s="1"/>
  <c r="P156"/>
  <c r="P154"/>
  <c r="P152"/>
  <c r="P144"/>
  <c r="P142"/>
  <c r="R142" s="1"/>
  <c r="P139"/>
  <c r="P135"/>
  <c r="P133"/>
  <c r="P131"/>
  <c r="R131" s="1"/>
  <c r="P123"/>
  <c r="P121"/>
  <c r="P119"/>
  <c r="P110"/>
  <c r="R110" s="1"/>
  <c r="P102"/>
  <c r="P98"/>
  <c r="R98" s="1"/>
  <c r="P90"/>
  <c r="P88"/>
  <c r="R88" s="1"/>
  <c r="P81"/>
  <c r="S318"/>
  <c r="S316"/>
  <c r="S314"/>
  <c r="S306"/>
  <c r="S304"/>
  <c r="S301"/>
  <c r="S297"/>
  <c r="S295"/>
  <c r="S293"/>
  <c r="S285"/>
  <c r="S283"/>
  <c r="S281"/>
  <c r="S264"/>
  <c r="S260"/>
  <c r="S252"/>
  <c r="S250"/>
  <c r="S243"/>
  <c r="S156"/>
  <c r="S154"/>
  <c r="S152"/>
  <c r="S144"/>
  <c r="S142"/>
  <c r="S139"/>
  <c r="S145" s="1"/>
  <c r="S135"/>
  <c r="S133"/>
  <c r="S131"/>
  <c r="S123"/>
  <c r="S121"/>
  <c r="S119"/>
  <c r="S110"/>
  <c r="S102"/>
  <c r="S98"/>
  <c r="S90"/>
  <c r="S88"/>
  <c r="S81"/>
  <c r="S91" s="1"/>
  <c r="T318"/>
  <c r="T316"/>
  <c r="T314"/>
  <c r="V314" s="1"/>
  <c r="T306"/>
  <c r="T304"/>
  <c r="V304" s="1"/>
  <c r="T301"/>
  <c r="T297"/>
  <c r="T295"/>
  <c r="T293"/>
  <c r="V293" s="1"/>
  <c r="T285"/>
  <c r="T283"/>
  <c r="T281"/>
  <c r="V281" s="1"/>
  <c r="T264"/>
  <c r="V264" s="1"/>
  <c r="T260"/>
  <c r="V260" s="1"/>
  <c r="T252"/>
  <c r="T250"/>
  <c r="T243"/>
  <c r="V243" s="1"/>
  <c r="T156"/>
  <c r="T154"/>
  <c r="T152"/>
  <c r="T144"/>
  <c r="T142"/>
  <c r="V142" s="1"/>
  <c r="T139"/>
  <c r="T135"/>
  <c r="T133"/>
  <c r="T131"/>
  <c r="T123"/>
  <c r="T121"/>
  <c r="T119"/>
  <c r="T110"/>
  <c r="T102"/>
  <c r="T98"/>
  <c r="V98" s="1"/>
  <c r="T90"/>
  <c r="T88"/>
  <c r="T81"/>
  <c r="V81" s="1"/>
  <c r="W318"/>
  <c r="W316"/>
  <c r="W314"/>
  <c r="W306"/>
  <c r="W304"/>
  <c r="W301"/>
  <c r="W297"/>
  <c r="W295"/>
  <c r="W293"/>
  <c r="W285"/>
  <c r="W283"/>
  <c r="W281"/>
  <c r="W264"/>
  <c r="W260"/>
  <c r="W252"/>
  <c r="W250"/>
  <c r="W243"/>
  <c r="W253" s="1"/>
  <c r="W156"/>
  <c r="W154"/>
  <c r="W152"/>
  <c r="W144"/>
  <c r="W142"/>
  <c r="W139"/>
  <c r="W135"/>
  <c r="W133"/>
  <c r="W131"/>
  <c r="W123"/>
  <c r="W121"/>
  <c r="W119"/>
  <c r="W124" s="1"/>
  <c r="W110"/>
  <c r="W102"/>
  <c r="W98"/>
  <c r="W90"/>
  <c r="W88"/>
  <c r="W81"/>
  <c r="X318"/>
  <c r="X316"/>
  <c r="X314"/>
  <c r="Z314" s="1"/>
  <c r="X306"/>
  <c r="X304"/>
  <c r="Z304" s="1"/>
  <c r="X301"/>
  <c r="X297"/>
  <c r="X295"/>
  <c r="X293"/>
  <c r="Z293" s="1"/>
  <c r="X285"/>
  <c r="X283"/>
  <c r="X281"/>
  <c r="Z281" s="1"/>
  <c r="X264"/>
  <c r="Z264" s="1"/>
  <c r="X260"/>
  <c r="Z260" s="1"/>
  <c r="X252"/>
  <c r="X250"/>
  <c r="Z250" s="1"/>
  <c r="X243"/>
  <c r="Z243" s="1"/>
  <c r="X156"/>
  <c r="X154"/>
  <c r="X152"/>
  <c r="X144"/>
  <c r="X142"/>
  <c r="X139"/>
  <c r="X135"/>
  <c r="X133"/>
  <c r="X131"/>
  <c r="Z131" s="1"/>
  <c r="X123"/>
  <c r="X121"/>
  <c r="X119"/>
  <c r="Z119" s="1"/>
  <c r="X110"/>
  <c r="X102"/>
  <c r="Z102" s="1"/>
  <c r="X98"/>
  <c r="Z98" s="1"/>
  <c r="X90"/>
  <c r="X88"/>
  <c r="X81"/>
  <c r="Z81" s="1"/>
  <c r="AA318"/>
  <c r="AA316"/>
  <c r="AA314"/>
  <c r="AA306"/>
  <c r="AA304"/>
  <c r="AA301"/>
  <c r="AA297"/>
  <c r="AA295"/>
  <c r="AA293"/>
  <c r="AA285"/>
  <c r="AA283"/>
  <c r="AA281"/>
  <c r="AA264"/>
  <c r="AA260"/>
  <c r="AA252"/>
  <c r="AA250"/>
  <c r="AA243"/>
  <c r="AA156"/>
  <c r="AA154"/>
  <c r="AA152"/>
  <c r="AA144"/>
  <c r="AA142"/>
  <c r="AA139"/>
  <c r="AA145" s="1"/>
  <c r="AA135"/>
  <c r="AA133"/>
  <c r="AA131"/>
  <c r="AA123"/>
  <c r="AA121"/>
  <c r="AA119"/>
  <c r="AA110"/>
  <c r="AA102"/>
  <c r="AA98"/>
  <c r="AA90"/>
  <c r="AA88"/>
  <c r="AA81"/>
  <c r="AA91" s="1"/>
  <c r="AB318"/>
  <c r="AB316"/>
  <c r="AB314"/>
  <c r="AB306"/>
  <c r="AB304"/>
  <c r="AB301"/>
  <c r="AB297"/>
  <c r="AB295"/>
  <c r="AB293"/>
  <c r="AB285"/>
  <c r="AB283"/>
  <c r="AB281"/>
  <c r="AB264"/>
  <c r="AB260"/>
  <c r="AB252"/>
  <c r="AB250"/>
  <c r="AD250" s="1"/>
  <c r="AB243"/>
  <c r="AD243" s="1"/>
  <c r="AB156"/>
  <c r="AB154"/>
  <c r="AB152"/>
  <c r="AB144"/>
  <c r="AB142"/>
  <c r="AB139"/>
  <c r="AB135"/>
  <c r="AB133"/>
  <c r="AB131"/>
  <c r="AD131" s="1"/>
  <c r="AB123"/>
  <c r="AB121"/>
  <c r="AB119"/>
  <c r="AB110"/>
  <c r="AB102"/>
  <c r="AB98"/>
  <c r="AB90"/>
  <c r="AB88"/>
  <c r="AB81"/>
  <c r="AD81" s="1"/>
  <c r="AE318"/>
  <c r="AE316"/>
  <c r="AE314"/>
  <c r="AE306"/>
  <c r="AE304"/>
  <c r="AE301"/>
  <c r="AE297"/>
  <c r="AE295"/>
  <c r="AE293"/>
  <c r="AE285"/>
  <c r="AE283"/>
  <c r="AE281"/>
  <c r="AE264"/>
  <c r="AE260"/>
  <c r="AE252"/>
  <c r="AE250"/>
  <c r="AE243"/>
  <c r="AE155"/>
  <c r="AE156" s="1"/>
  <c r="AE153"/>
  <c r="AE154" s="1"/>
  <c r="AE151"/>
  <c r="AE150"/>
  <c r="AE149"/>
  <c r="AE148"/>
  <c r="AE147"/>
  <c r="AE143"/>
  <c r="AE144" s="1"/>
  <c r="AE141"/>
  <c r="AE140"/>
  <c r="AE138"/>
  <c r="AE139" s="1"/>
  <c r="AE134"/>
  <c r="AE135" s="1"/>
  <c r="AE133"/>
  <c r="AE132"/>
  <c r="AE130"/>
  <c r="AE129"/>
  <c r="AE128"/>
  <c r="AE127"/>
  <c r="AE126"/>
  <c r="AE122"/>
  <c r="AE123" s="1"/>
  <c r="AE120"/>
  <c r="AE121" s="1"/>
  <c r="AE118"/>
  <c r="AE117"/>
  <c r="AE116"/>
  <c r="AE115"/>
  <c r="AE114"/>
  <c r="AE113"/>
  <c r="AE109"/>
  <c r="AE108"/>
  <c r="AE107"/>
  <c r="AE106"/>
  <c r="AE105"/>
  <c r="AE104"/>
  <c r="AE103"/>
  <c r="AE101"/>
  <c r="AE100"/>
  <c r="AE99"/>
  <c r="AE97"/>
  <c r="AE96"/>
  <c r="AE95"/>
  <c r="AE94"/>
  <c r="AE93"/>
  <c r="AE89"/>
  <c r="AE90" s="1"/>
  <c r="AE87"/>
  <c r="AE86"/>
  <c r="AE85"/>
  <c r="AE84"/>
  <c r="AE83"/>
  <c r="AE82"/>
  <c r="AE80"/>
  <c r="AE79"/>
  <c r="AE78"/>
  <c r="AE77"/>
  <c r="AE76"/>
  <c r="AE75"/>
  <c r="AE74"/>
  <c r="AE73"/>
  <c r="AE72"/>
  <c r="AE71"/>
  <c r="AE70"/>
  <c r="AE69"/>
  <c r="AE68"/>
  <c r="AE67"/>
  <c r="AE66"/>
  <c r="AE65"/>
  <c r="AE64"/>
  <c r="AE63"/>
  <c r="AE62"/>
  <c r="AE61"/>
  <c r="AE60"/>
  <c r="AE59"/>
  <c r="AE58"/>
  <c r="AE57"/>
  <c r="AE56"/>
  <c r="AE55"/>
  <c r="AE54"/>
  <c r="AE53"/>
  <c r="AE52"/>
  <c r="AE51"/>
  <c r="AE50"/>
  <c r="AE49"/>
  <c r="AE48"/>
  <c r="AE47"/>
  <c r="AE46"/>
  <c r="AE45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F318"/>
  <c r="AF316"/>
  <c r="AF314"/>
  <c r="AF306"/>
  <c r="AF304"/>
  <c r="AH304" s="1"/>
  <c r="AF301"/>
  <c r="AF297"/>
  <c r="AF295"/>
  <c r="AF293"/>
  <c r="AF285"/>
  <c r="AF283"/>
  <c r="AF281"/>
  <c r="AF264"/>
  <c r="AF260"/>
  <c r="AH260" s="1"/>
  <c r="AF252"/>
  <c r="AF250"/>
  <c r="AH250" s="1"/>
  <c r="AF243"/>
  <c r="AH243" s="1"/>
  <c r="AF155"/>
  <c r="AF156" s="1"/>
  <c r="AF153"/>
  <c r="AF154" s="1"/>
  <c r="AF151"/>
  <c r="AF150"/>
  <c r="AF149"/>
  <c r="AF148"/>
  <c r="AF147"/>
  <c r="AF143"/>
  <c r="AF144" s="1"/>
  <c r="AF141"/>
  <c r="AF140"/>
  <c r="AF138"/>
  <c r="AF139" s="1"/>
  <c r="AF135"/>
  <c r="AF134"/>
  <c r="AF132"/>
  <c r="AF133" s="1"/>
  <c r="AF130"/>
  <c r="AF129"/>
  <c r="AF128"/>
  <c r="AF127"/>
  <c r="AF126"/>
  <c r="AF122"/>
  <c r="AF123" s="1"/>
  <c r="AF120"/>
  <c r="AF121" s="1"/>
  <c r="AF118"/>
  <c r="AF117"/>
  <c r="AF116"/>
  <c r="AF115"/>
  <c r="AF114"/>
  <c r="AF113"/>
  <c r="AF109"/>
  <c r="AF108"/>
  <c r="AF107"/>
  <c r="AF106"/>
  <c r="AF105"/>
  <c r="AF104"/>
  <c r="AF103"/>
  <c r="AF101"/>
  <c r="AF100"/>
  <c r="AF99"/>
  <c r="AF97"/>
  <c r="AF96"/>
  <c r="AF95"/>
  <c r="AF94"/>
  <c r="AF93"/>
  <c r="AF89"/>
  <c r="AF90" s="1"/>
  <c r="AF87"/>
  <c r="AF86"/>
  <c r="AF85"/>
  <c r="AF84"/>
  <c r="AF83"/>
  <c r="AF82"/>
  <c r="AF80"/>
  <c r="AF79"/>
  <c r="AF78"/>
  <c r="AF77"/>
  <c r="AF76"/>
  <c r="AF75"/>
  <c r="AF74"/>
  <c r="AF73"/>
  <c r="AF72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8"/>
  <c r="AF47"/>
  <c r="AF46"/>
  <c r="AF45"/>
  <c r="AF44"/>
  <c r="AF43"/>
  <c r="AF42"/>
  <c r="AF41"/>
  <c r="AF40"/>
  <c r="AF39"/>
  <c r="AF38"/>
  <c r="AF37"/>
  <c r="AF36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G155"/>
  <c r="AG153"/>
  <c r="AG151"/>
  <c r="AH151" s="1"/>
  <c r="AG150"/>
  <c r="AH150" s="1"/>
  <c r="AG149"/>
  <c r="AH149" s="1"/>
  <c r="AG148"/>
  <c r="AH148" s="1"/>
  <c r="AG147"/>
  <c r="AH147" s="1"/>
  <c r="AG143"/>
  <c r="AG141"/>
  <c r="AH141" s="1"/>
  <c r="AG140"/>
  <c r="AH140" s="1"/>
  <c r="AG138"/>
  <c r="AG134"/>
  <c r="AG132"/>
  <c r="AG130"/>
  <c r="AH130" s="1"/>
  <c r="AG129"/>
  <c r="AH129" s="1"/>
  <c r="AG128"/>
  <c r="AH128" s="1"/>
  <c r="AG127"/>
  <c r="AH127" s="1"/>
  <c r="AG126"/>
  <c r="AH126" s="1"/>
  <c r="AG122"/>
  <c r="AG120"/>
  <c r="AG118"/>
  <c r="AH118" s="1"/>
  <c r="AG117"/>
  <c r="AH117" s="1"/>
  <c r="AG116"/>
  <c r="AH116" s="1"/>
  <c r="AG115"/>
  <c r="AH115" s="1"/>
  <c r="AG114"/>
  <c r="AH114" s="1"/>
  <c r="AG113"/>
  <c r="AH113" s="1"/>
  <c r="AG109"/>
  <c r="AH109" s="1"/>
  <c r="AG108"/>
  <c r="AH108" s="1"/>
  <c r="AG107"/>
  <c r="AH107" s="1"/>
  <c r="AG106"/>
  <c r="AH106" s="1"/>
  <c r="AG105"/>
  <c r="AH105" s="1"/>
  <c r="AG104"/>
  <c r="AH104" s="1"/>
  <c r="AG103"/>
  <c r="AH103" s="1"/>
  <c r="AG101"/>
  <c r="AH101" s="1"/>
  <c r="AG100"/>
  <c r="AH100" s="1"/>
  <c r="AG99"/>
  <c r="AH99" s="1"/>
  <c r="AG97"/>
  <c r="AH97" s="1"/>
  <c r="AG96"/>
  <c r="AH96" s="1"/>
  <c r="AG95"/>
  <c r="AH95" s="1"/>
  <c r="AG94"/>
  <c r="AH94" s="1"/>
  <c r="AG93"/>
  <c r="AH93" s="1"/>
  <c r="AG89"/>
  <c r="AG87"/>
  <c r="AH87" s="1"/>
  <c r="AG86"/>
  <c r="AH86" s="1"/>
  <c r="AG85"/>
  <c r="AH85" s="1"/>
  <c r="AG84"/>
  <c r="AH84" s="1"/>
  <c r="AG83"/>
  <c r="AH83" s="1"/>
  <c r="AG82"/>
  <c r="AH82" s="1"/>
  <c r="AG80"/>
  <c r="AH80" s="1"/>
  <c r="AG79"/>
  <c r="AH79" s="1"/>
  <c r="AG78"/>
  <c r="AH78" s="1"/>
  <c r="AG77"/>
  <c r="AH77" s="1"/>
  <c r="AG76"/>
  <c r="AH76" s="1"/>
  <c r="AG75"/>
  <c r="AH75" s="1"/>
  <c r="AG74"/>
  <c r="AG73"/>
  <c r="AH73" s="1"/>
  <c r="AG72"/>
  <c r="AH72" s="1"/>
  <c r="AG71"/>
  <c r="AH71" s="1"/>
  <c r="AG70"/>
  <c r="AH70" s="1"/>
  <c r="AG69"/>
  <c r="AH69" s="1"/>
  <c r="AG68"/>
  <c r="AH68" s="1"/>
  <c r="AG67"/>
  <c r="AH67" s="1"/>
  <c r="AG66"/>
  <c r="AH66" s="1"/>
  <c r="AG65"/>
  <c r="AH65" s="1"/>
  <c r="AG64"/>
  <c r="AH64" s="1"/>
  <c r="AG63"/>
  <c r="AH63" s="1"/>
  <c r="AG62"/>
  <c r="AH62" s="1"/>
  <c r="AG61"/>
  <c r="AH61" s="1"/>
  <c r="AG60"/>
  <c r="AH60" s="1"/>
  <c r="AG59"/>
  <c r="AH59" s="1"/>
  <c r="AG58"/>
  <c r="AH58" s="1"/>
  <c r="AG57"/>
  <c r="AH57" s="1"/>
  <c r="AG56"/>
  <c r="AH56" s="1"/>
  <c r="AG55"/>
  <c r="AH55" s="1"/>
  <c r="AG54"/>
  <c r="AH54" s="1"/>
  <c r="AG53"/>
  <c r="AH53" s="1"/>
  <c r="AG52"/>
  <c r="AH52" s="1"/>
  <c r="AG51"/>
  <c r="AH51" s="1"/>
  <c r="AG50"/>
  <c r="AH50" s="1"/>
  <c r="AG49"/>
  <c r="AH49" s="1"/>
  <c r="AG48"/>
  <c r="AH48" s="1"/>
  <c r="AG47"/>
  <c r="AH47" s="1"/>
  <c r="AG46"/>
  <c r="AH46" s="1"/>
  <c r="AG45"/>
  <c r="AH45" s="1"/>
  <c r="AG44"/>
  <c r="AH44" s="1"/>
  <c r="AG43"/>
  <c r="AH43" s="1"/>
  <c r="AG42"/>
  <c r="AH42" s="1"/>
  <c r="AG41"/>
  <c r="AH41" s="1"/>
  <c r="AG40"/>
  <c r="AH40" s="1"/>
  <c r="AG39"/>
  <c r="AH39" s="1"/>
  <c r="AG38"/>
  <c r="AH38" s="1"/>
  <c r="AG37"/>
  <c r="AH37" s="1"/>
  <c r="AG36"/>
  <c r="AG35"/>
  <c r="AH35" s="1"/>
  <c r="AG34"/>
  <c r="AH34" s="1"/>
  <c r="AG33"/>
  <c r="AH33" s="1"/>
  <c r="AG32"/>
  <c r="AH32" s="1"/>
  <c r="AG31"/>
  <c r="AH31" s="1"/>
  <c r="AG30"/>
  <c r="AH30" s="1"/>
  <c r="AG29"/>
  <c r="AH29" s="1"/>
  <c r="AG28"/>
  <c r="AH28" s="1"/>
  <c r="AG27"/>
  <c r="AH27" s="1"/>
  <c r="AG26"/>
  <c r="AH26" s="1"/>
  <c r="AG25"/>
  <c r="AH25" s="1"/>
  <c r="AG24"/>
  <c r="AH24" s="1"/>
  <c r="AG23"/>
  <c r="AH23" s="1"/>
  <c r="AG22"/>
  <c r="AH22" s="1"/>
  <c r="AG21"/>
  <c r="AH21" s="1"/>
  <c r="AG20"/>
  <c r="AH20" s="1"/>
  <c r="AG19"/>
  <c r="AH19" s="1"/>
  <c r="AG18"/>
  <c r="AH18" s="1"/>
  <c r="AG17"/>
  <c r="AH17" s="1"/>
  <c r="AG16"/>
  <c r="AH16" s="1"/>
  <c r="AG15"/>
  <c r="AH15" s="1"/>
  <c r="AG14"/>
  <c r="AH14" s="1"/>
  <c r="AG13"/>
  <c r="AH13" s="1"/>
  <c r="AG12"/>
  <c r="AH12" s="1"/>
  <c r="AG11"/>
  <c r="AH11" s="1"/>
  <c r="AG10"/>
  <c r="AH10" s="1"/>
  <c r="AG9"/>
  <c r="AH9" s="1"/>
  <c r="AG8"/>
  <c r="AH8" s="1"/>
  <c r="AI317"/>
  <c r="AI318" s="1"/>
  <c r="AI315"/>
  <c r="AI316" s="1"/>
  <c r="AI313"/>
  <c r="AI312"/>
  <c r="AI311"/>
  <c r="AI310"/>
  <c r="AI309"/>
  <c r="AI305"/>
  <c r="AI306" s="1"/>
  <c r="AI303"/>
  <c r="AI302"/>
  <c r="AI300"/>
  <c r="AI301" s="1"/>
  <c r="AI296"/>
  <c r="AI297" s="1"/>
  <c r="AI294"/>
  <c r="AI295" s="1"/>
  <c r="AI292"/>
  <c r="AI291"/>
  <c r="AI290"/>
  <c r="AI289"/>
  <c r="AI288"/>
  <c r="AI284"/>
  <c r="AI285" s="1"/>
  <c r="AI282"/>
  <c r="AI283" s="1"/>
  <c r="AI280"/>
  <c r="AI279"/>
  <c r="AI278"/>
  <c r="AI277"/>
  <c r="AI276"/>
  <c r="AI275"/>
  <c r="AI271"/>
  <c r="AI270"/>
  <c r="AI269"/>
  <c r="AI268"/>
  <c r="AI267"/>
  <c r="AI266"/>
  <c r="AI265"/>
  <c r="AI263"/>
  <c r="AI262"/>
  <c r="AI261"/>
  <c r="AI259"/>
  <c r="AI258"/>
  <c r="AI257"/>
  <c r="AI256"/>
  <c r="AI255"/>
  <c r="AI251"/>
  <c r="AI252" s="1"/>
  <c r="AI249"/>
  <c r="AI248"/>
  <c r="AI247"/>
  <c r="AI246"/>
  <c r="AI245"/>
  <c r="AI244"/>
  <c r="AI242"/>
  <c r="AI241"/>
  <c r="AI240"/>
  <c r="AI239"/>
  <c r="AI238"/>
  <c r="AI237"/>
  <c r="AI236"/>
  <c r="AI235"/>
  <c r="AI234"/>
  <c r="AI233"/>
  <c r="AI232"/>
  <c r="AI231"/>
  <c r="AI230"/>
  <c r="AI229"/>
  <c r="AI228"/>
  <c r="AI227"/>
  <c r="AI226"/>
  <c r="AI225"/>
  <c r="AI224"/>
  <c r="AI223"/>
  <c r="AI222"/>
  <c r="AI221"/>
  <c r="AI220"/>
  <c r="AI219"/>
  <c r="AI218"/>
  <c r="AI217"/>
  <c r="AI216"/>
  <c r="AI215"/>
  <c r="AI214"/>
  <c r="AI213"/>
  <c r="AI212"/>
  <c r="AI211"/>
  <c r="AI210"/>
  <c r="AI209"/>
  <c r="AI208"/>
  <c r="AI207"/>
  <c r="AI206"/>
  <c r="AI205"/>
  <c r="AI204"/>
  <c r="AI203"/>
  <c r="AI202"/>
  <c r="AI201"/>
  <c r="AI200"/>
  <c r="AI199"/>
  <c r="AI198"/>
  <c r="AI197"/>
  <c r="AI196"/>
  <c r="AI195"/>
  <c r="AI194"/>
  <c r="AI193"/>
  <c r="AI192"/>
  <c r="AI191"/>
  <c r="AI190"/>
  <c r="AI189"/>
  <c r="AI188"/>
  <c r="AI187"/>
  <c r="AI186"/>
  <c r="AI185"/>
  <c r="AI184"/>
  <c r="AI183"/>
  <c r="AI182"/>
  <c r="AI181"/>
  <c r="AI180"/>
  <c r="AI179"/>
  <c r="AI178"/>
  <c r="AI177"/>
  <c r="AI176"/>
  <c r="AI175"/>
  <c r="AI174"/>
  <c r="AI173"/>
  <c r="AI172"/>
  <c r="AI171"/>
  <c r="AI170"/>
  <c r="AI156"/>
  <c r="AI154"/>
  <c r="AI152"/>
  <c r="AI144"/>
  <c r="AI142"/>
  <c r="AI139"/>
  <c r="AI135"/>
  <c r="AI133"/>
  <c r="AI131"/>
  <c r="AI123"/>
  <c r="AI121"/>
  <c r="AI119"/>
  <c r="AI110"/>
  <c r="AI102"/>
  <c r="AI98"/>
  <c r="AI90"/>
  <c r="AI88"/>
  <c r="AI81"/>
  <c r="AJ317"/>
  <c r="AJ318" s="1"/>
  <c r="AJ315"/>
  <c r="AJ316" s="1"/>
  <c r="AJ313"/>
  <c r="AJ312"/>
  <c r="AJ311"/>
  <c r="AJ310"/>
  <c r="AJ309"/>
  <c r="AJ305"/>
  <c r="AJ306" s="1"/>
  <c r="AJ303"/>
  <c r="AJ302"/>
  <c r="AJ300"/>
  <c r="AJ301" s="1"/>
  <c r="AJ296"/>
  <c r="AJ297" s="1"/>
  <c r="AJ295"/>
  <c r="AJ294"/>
  <c r="AJ292"/>
  <c r="AJ291"/>
  <c r="AJ290"/>
  <c r="AJ289"/>
  <c r="AJ288"/>
  <c r="AJ284"/>
  <c r="AJ285" s="1"/>
  <c r="AJ283"/>
  <c r="AJ282"/>
  <c r="AJ280"/>
  <c r="AJ279"/>
  <c r="AJ278"/>
  <c r="AJ277"/>
  <c r="AJ276"/>
  <c r="AJ275"/>
  <c r="AJ271"/>
  <c r="AJ270"/>
  <c r="AJ269"/>
  <c r="AJ268"/>
  <c r="AJ267"/>
  <c r="AJ266"/>
  <c r="AJ265"/>
  <c r="AJ263"/>
  <c r="AJ262"/>
  <c r="AJ261"/>
  <c r="AJ259"/>
  <c r="AJ258"/>
  <c r="AJ257"/>
  <c r="AJ256"/>
  <c r="AJ255"/>
  <c r="AJ251"/>
  <c r="AJ252" s="1"/>
  <c r="AJ249"/>
  <c r="AJ248"/>
  <c r="AJ247"/>
  <c r="AJ246"/>
  <c r="AJ245"/>
  <c r="AJ244"/>
  <c r="AJ242"/>
  <c r="AJ241"/>
  <c r="AJ240"/>
  <c r="AJ239"/>
  <c r="AJ238"/>
  <c r="AJ237"/>
  <c r="AJ236"/>
  <c r="AJ235"/>
  <c r="AJ234"/>
  <c r="AJ233"/>
  <c r="AJ232"/>
  <c r="AJ231"/>
  <c r="AJ230"/>
  <c r="AJ229"/>
  <c r="AJ228"/>
  <c r="AJ227"/>
  <c r="AJ226"/>
  <c r="AJ225"/>
  <c r="AJ224"/>
  <c r="AJ223"/>
  <c r="AJ222"/>
  <c r="AJ221"/>
  <c r="AJ220"/>
  <c r="AJ219"/>
  <c r="AJ218"/>
  <c r="AJ217"/>
  <c r="AJ216"/>
  <c r="AJ215"/>
  <c r="AJ214"/>
  <c r="AJ213"/>
  <c r="AJ212"/>
  <c r="AJ211"/>
  <c r="AJ210"/>
  <c r="AJ209"/>
  <c r="AJ208"/>
  <c r="AJ207"/>
  <c r="AJ206"/>
  <c r="AJ205"/>
  <c r="AJ204"/>
  <c r="AJ203"/>
  <c r="AJ202"/>
  <c r="AJ201"/>
  <c r="AJ200"/>
  <c r="AJ199"/>
  <c r="AJ198"/>
  <c r="AJ197"/>
  <c r="AJ196"/>
  <c r="AJ195"/>
  <c r="AJ194"/>
  <c r="AJ193"/>
  <c r="AJ192"/>
  <c r="AJ191"/>
  <c r="AJ190"/>
  <c r="AJ189"/>
  <c r="AJ188"/>
  <c r="AJ187"/>
  <c r="AJ186"/>
  <c r="AJ185"/>
  <c r="AJ184"/>
  <c r="AJ183"/>
  <c r="AJ182"/>
  <c r="AJ181"/>
  <c r="AJ180"/>
  <c r="AJ179"/>
  <c r="AJ178"/>
  <c r="AJ177"/>
  <c r="AJ176"/>
  <c r="AJ175"/>
  <c r="AJ174"/>
  <c r="AJ173"/>
  <c r="AJ172"/>
  <c r="AJ171"/>
  <c r="AJ170"/>
  <c r="AJ156"/>
  <c r="AJ154"/>
  <c r="AJ152"/>
  <c r="AJ144"/>
  <c r="AJ142"/>
  <c r="AJ139"/>
  <c r="AJ135"/>
  <c r="AJ133"/>
  <c r="AJ131"/>
  <c r="AJ123"/>
  <c r="AJ121"/>
  <c r="AJ119"/>
  <c r="AJ110"/>
  <c r="AJ102"/>
  <c r="AJ98"/>
  <c r="AJ90"/>
  <c r="AJ88"/>
  <c r="AL88" s="1"/>
  <c r="AJ81"/>
  <c r="AL81" s="1"/>
  <c r="AK317"/>
  <c r="AK315"/>
  <c r="AK313"/>
  <c r="AL313" s="1"/>
  <c r="AK312"/>
  <c r="AL312" s="1"/>
  <c r="AK311"/>
  <c r="AL311" s="1"/>
  <c r="AK310"/>
  <c r="AK309"/>
  <c r="AL309" s="1"/>
  <c r="AK305"/>
  <c r="AK303"/>
  <c r="AL303" s="1"/>
  <c r="AK302"/>
  <c r="AL302" s="1"/>
  <c r="AK300"/>
  <c r="AK296"/>
  <c r="AK294"/>
  <c r="AK292"/>
  <c r="AL292" s="1"/>
  <c r="AK291"/>
  <c r="AL291" s="1"/>
  <c r="AK290"/>
  <c r="AL290" s="1"/>
  <c r="AK289"/>
  <c r="AK288"/>
  <c r="AL288" s="1"/>
  <c r="AK284"/>
  <c r="AK282"/>
  <c r="AK280"/>
  <c r="AL280" s="1"/>
  <c r="AK279"/>
  <c r="AL279" s="1"/>
  <c r="AK278"/>
  <c r="AL278" s="1"/>
  <c r="AK277"/>
  <c r="AL277" s="1"/>
  <c r="AK276"/>
  <c r="AL276" s="1"/>
  <c r="AK275"/>
  <c r="AL275" s="1"/>
  <c r="AK271"/>
  <c r="AL271" s="1"/>
  <c r="AK270"/>
  <c r="AL270" s="1"/>
  <c r="AK269"/>
  <c r="AL269" s="1"/>
  <c r="AK268"/>
  <c r="AL268" s="1"/>
  <c r="AK267"/>
  <c r="AL267" s="1"/>
  <c r="AK266"/>
  <c r="AL266" s="1"/>
  <c r="AK265"/>
  <c r="AL265" s="1"/>
  <c r="AK263"/>
  <c r="AL263" s="1"/>
  <c r="AK262"/>
  <c r="AL262" s="1"/>
  <c r="AK261"/>
  <c r="AK259"/>
  <c r="AL259" s="1"/>
  <c r="AK258"/>
  <c r="AL258" s="1"/>
  <c r="AK257"/>
  <c r="AL257" s="1"/>
  <c r="AK256"/>
  <c r="AL256" s="1"/>
  <c r="AK255"/>
  <c r="AL255" s="1"/>
  <c r="AK251"/>
  <c r="AK249"/>
  <c r="AL249" s="1"/>
  <c r="AK248"/>
  <c r="AL248" s="1"/>
  <c r="AK247"/>
  <c r="AL247" s="1"/>
  <c r="AK246"/>
  <c r="AL246" s="1"/>
  <c r="AK245"/>
  <c r="AL245" s="1"/>
  <c r="AK244"/>
  <c r="AL244" s="1"/>
  <c r="AK242"/>
  <c r="AL242" s="1"/>
  <c r="AK241"/>
  <c r="AL241" s="1"/>
  <c r="AK240"/>
  <c r="AL240" s="1"/>
  <c r="AK239"/>
  <c r="AL239" s="1"/>
  <c r="AK238"/>
  <c r="AL238" s="1"/>
  <c r="AK237"/>
  <c r="AL237" s="1"/>
  <c r="AK236"/>
  <c r="AK235"/>
  <c r="AL235" s="1"/>
  <c r="AK234"/>
  <c r="AL234" s="1"/>
  <c r="AK233"/>
  <c r="AL233" s="1"/>
  <c r="AK232"/>
  <c r="AL232" s="1"/>
  <c r="AK231"/>
  <c r="AL231" s="1"/>
  <c r="AK230"/>
  <c r="AL230" s="1"/>
  <c r="AK229"/>
  <c r="AL229" s="1"/>
  <c r="AK228"/>
  <c r="AL228" s="1"/>
  <c r="AK227"/>
  <c r="AK226"/>
  <c r="AL226" s="1"/>
  <c r="AK225"/>
  <c r="AL225" s="1"/>
  <c r="AK224"/>
  <c r="AL224" s="1"/>
  <c r="AK223"/>
  <c r="AL223" s="1"/>
  <c r="AK222"/>
  <c r="AL222" s="1"/>
  <c r="AK221"/>
  <c r="AL221" s="1"/>
  <c r="AK220"/>
  <c r="AL220" s="1"/>
  <c r="AK219"/>
  <c r="AL219" s="1"/>
  <c r="AK218"/>
  <c r="AL218" s="1"/>
  <c r="AK217"/>
  <c r="AL217" s="1"/>
  <c r="AK216"/>
  <c r="AL216" s="1"/>
  <c r="AK215"/>
  <c r="AL215" s="1"/>
  <c r="AK214"/>
  <c r="AL214" s="1"/>
  <c r="AK213"/>
  <c r="AL213" s="1"/>
  <c r="AK212"/>
  <c r="AL212" s="1"/>
  <c r="AK211"/>
  <c r="AL211" s="1"/>
  <c r="AK210"/>
  <c r="AL210" s="1"/>
  <c r="AK209"/>
  <c r="AL209" s="1"/>
  <c r="AK208"/>
  <c r="AL208" s="1"/>
  <c r="AK207"/>
  <c r="AL207" s="1"/>
  <c r="AK206"/>
  <c r="AL206" s="1"/>
  <c r="AK205"/>
  <c r="AL205" s="1"/>
  <c r="AK204"/>
  <c r="AL204" s="1"/>
  <c r="AK203"/>
  <c r="AK202"/>
  <c r="AL202" s="1"/>
  <c r="AK201"/>
  <c r="AL201" s="1"/>
  <c r="AK200"/>
  <c r="AL200" s="1"/>
  <c r="AK199"/>
  <c r="AL199" s="1"/>
  <c r="AK198"/>
  <c r="AK197"/>
  <c r="AL197" s="1"/>
  <c r="AK196"/>
  <c r="AK195"/>
  <c r="AL195" s="1"/>
  <c r="AK194"/>
  <c r="AL194" s="1"/>
  <c r="AK193"/>
  <c r="AL193" s="1"/>
  <c r="AK192"/>
  <c r="AL192" s="1"/>
  <c r="AK191"/>
  <c r="AL191" s="1"/>
  <c r="AK190"/>
  <c r="AL190" s="1"/>
  <c r="AK189"/>
  <c r="AL189" s="1"/>
  <c r="AK188"/>
  <c r="AL188" s="1"/>
  <c r="AK187"/>
  <c r="AL187" s="1"/>
  <c r="AK186"/>
  <c r="AK185"/>
  <c r="AL185" s="1"/>
  <c r="AK184"/>
  <c r="AL184" s="1"/>
  <c r="AK183"/>
  <c r="AL183" s="1"/>
  <c r="AK182"/>
  <c r="AL182" s="1"/>
  <c r="AK181"/>
  <c r="AL181" s="1"/>
  <c r="AK180"/>
  <c r="AL180" s="1"/>
  <c r="AK179"/>
  <c r="AL179" s="1"/>
  <c r="AK178"/>
  <c r="AL178" s="1"/>
  <c r="AK177"/>
  <c r="AL177" s="1"/>
  <c r="AK176"/>
  <c r="AK175"/>
  <c r="AL175" s="1"/>
  <c r="AK174"/>
  <c r="AL174" s="1"/>
  <c r="AK173"/>
  <c r="AL173" s="1"/>
  <c r="AK172"/>
  <c r="AL172" s="1"/>
  <c r="AK171"/>
  <c r="AL171" s="1"/>
  <c r="AK170"/>
  <c r="AL170" s="1"/>
  <c r="AM318"/>
  <c r="AM316"/>
  <c r="AM314"/>
  <c r="AM306"/>
  <c r="AM304"/>
  <c r="AM301"/>
  <c r="AM297"/>
  <c r="AM295"/>
  <c r="AM293"/>
  <c r="AM285"/>
  <c r="AM283"/>
  <c r="AM281"/>
  <c r="AM264"/>
  <c r="AM260"/>
  <c r="AM252"/>
  <c r="AM250"/>
  <c r="AM243"/>
  <c r="AM156"/>
  <c r="AM154"/>
  <c r="AM152"/>
  <c r="AM144"/>
  <c r="AM142"/>
  <c r="AM139"/>
  <c r="AM135"/>
  <c r="AM133"/>
  <c r="AM131"/>
  <c r="AM123"/>
  <c r="AM121"/>
  <c r="AM119"/>
  <c r="AM110"/>
  <c r="AM102"/>
  <c r="AM98"/>
  <c r="AM90"/>
  <c r="AM88"/>
  <c r="AM81"/>
  <c r="AN318"/>
  <c r="AN316"/>
  <c r="AN314"/>
  <c r="AP314" s="1"/>
  <c r="AN306"/>
  <c r="AN304"/>
  <c r="AP304" s="1"/>
  <c r="AN301"/>
  <c r="AN297"/>
  <c r="AN295"/>
  <c r="AN293"/>
  <c r="AP293" s="1"/>
  <c r="AN285"/>
  <c r="AN283"/>
  <c r="AN281"/>
  <c r="AP281" s="1"/>
  <c r="AN264"/>
  <c r="AP264" s="1"/>
  <c r="AN260"/>
  <c r="AP260" s="1"/>
  <c r="AN252"/>
  <c r="AN250"/>
  <c r="AP250" s="1"/>
  <c r="AN243"/>
  <c r="AP243" s="1"/>
  <c r="AN156"/>
  <c r="AN154"/>
  <c r="AN152"/>
  <c r="AN144"/>
  <c r="AN142"/>
  <c r="AN139"/>
  <c r="AN135"/>
  <c r="AN133"/>
  <c r="AN131"/>
  <c r="AN123"/>
  <c r="AN121"/>
  <c r="AN119"/>
  <c r="AN110"/>
  <c r="AN102"/>
  <c r="AN98"/>
  <c r="AN90"/>
  <c r="AN88"/>
  <c r="AN81"/>
  <c r="AP81" s="1"/>
  <c r="AQ318"/>
  <c r="AQ316"/>
  <c r="AQ314"/>
  <c r="AQ306"/>
  <c r="AQ304"/>
  <c r="AQ301"/>
  <c r="AQ297"/>
  <c r="AQ295"/>
  <c r="AQ293"/>
  <c r="AQ285"/>
  <c r="AQ283"/>
  <c r="AQ281"/>
  <c r="AQ264"/>
  <c r="AQ260"/>
  <c r="AQ252"/>
  <c r="AQ250"/>
  <c r="AQ243"/>
  <c r="AQ156"/>
  <c r="AQ154"/>
  <c r="AQ152"/>
  <c r="AQ144"/>
  <c r="AQ142"/>
  <c r="AQ139"/>
  <c r="AQ135"/>
  <c r="AQ133"/>
  <c r="AQ131"/>
  <c r="AQ123"/>
  <c r="AQ121"/>
  <c r="AQ119"/>
  <c r="AQ110"/>
  <c r="AQ102"/>
  <c r="AQ98"/>
  <c r="AQ90"/>
  <c r="AQ88"/>
  <c r="AQ81"/>
  <c r="AR318"/>
  <c r="AR316"/>
  <c r="AR314"/>
  <c r="AT314" s="1"/>
  <c r="AR306"/>
  <c r="AR304"/>
  <c r="AR301"/>
  <c r="AR297"/>
  <c r="AR295"/>
  <c r="AR293"/>
  <c r="AR285"/>
  <c r="AR283"/>
  <c r="AR281"/>
  <c r="AR264"/>
  <c r="AR260"/>
  <c r="AR252"/>
  <c r="AR250"/>
  <c r="AR243"/>
  <c r="AT243" s="1"/>
  <c r="AR156"/>
  <c r="AR154"/>
  <c r="AR152"/>
  <c r="AR144"/>
  <c r="AR142"/>
  <c r="AR139"/>
  <c r="AR135"/>
  <c r="AR133"/>
  <c r="AR131"/>
  <c r="AR123"/>
  <c r="AR121"/>
  <c r="AR119"/>
  <c r="AR110"/>
  <c r="AR102"/>
  <c r="AR98"/>
  <c r="AR90"/>
  <c r="AR88"/>
  <c r="AT88" s="1"/>
  <c r="AR81"/>
  <c r="AU318"/>
  <c r="AU316"/>
  <c r="AU314"/>
  <c r="AU306"/>
  <c r="AU304"/>
  <c r="AU301"/>
  <c r="AU297"/>
  <c r="AU295"/>
  <c r="AU293"/>
  <c r="AU285"/>
  <c r="AU283"/>
  <c r="AU281"/>
  <c r="AU264"/>
  <c r="AU260"/>
  <c r="AU252"/>
  <c r="AU250"/>
  <c r="AU243"/>
  <c r="AV318"/>
  <c r="AV316"/>
  <c r="AV314"/>
  <c r="AV306"/>
  <c r="AV304"/>
  <c r="AV301"/>
  <c r="AV297"/>
  <c r="AV295"/>
  <c r="AV293"/>
  <c r="AV285"/>
  <c r="AV283"/>
  <c r="AV281"/>
  <c r="AV264"/>
  <c r="AV260"/>
  <c r="AV252"/>
  <c r="AV250"/>
  <c r="AV243"/>
  <c r="AX243" s="1"/>
  <c r="D40" i="79"/>
  <c r="D36"/>
  <c r="D22"/>
  <c r="D21"/>
  <c r="D20"/>
  <c r="D18"/>
  <c r="D17"/>
  <c r="D8"/>
  <c r="E40"/>
  <c r="J40" s="1"/>
  <c r="E36"/>
  <c r="J36" s="1"/>
  <c r="E22"/>
  <c r="G22" s="1"/>
  <c r="E21"/>
  <c r="G21" s="1"/>
  <c r="E20"/>
  <c r="G20" s="1"/>
  <c r="G18"/>
  <c r="G8"/>
  <c r="F40"/>
  <c r="F36"/>
  <c r="F32"/>
  <c r="F14"/>
  <c r="E121" i="78"/>
  <c r="E118"/>
  <c r="E115"/>
  <c r="E112"/>
  <c r="E109"/>
  <c r="E106"/>
  <c r="E103"/>
  <c r="E92"/>
  <c r="E89"/>
  <c r="E86"/>
  <c r="E83"/>
  <c r="E80"/>
  <c r="E68"/>
  <c r="E77" s="1"/>
  <c r="E37"/>
  <c r="E39" s="1"/>
  <c r="E30"/>
  <c r="E17"/>
  <c r="E14"/>
  <c r="E13"/>
  <c r="E9"/>
  <c r="F121"/>
  <c r="F118"/>
  <c r="F115"/>
  <c r="F112"/>
  <c r="F109"/>
  <c r="F106"/>
  <c r="F103"/>
  <c r="F92"/>
  <c r="F89"/>
  <c r="F86"/>
  <c r="F83"/>
  <c r="F80"/>
  <c r="F77"/>
  <c r="H42"/>
  <c r="F39"/>
  <c r="H37"/>
  <c r="H33"/>
  <c r="F30"/>
  <c r="G121"/>
  <c r="G118"/>
  <c r="G115"/>
  <c r="H115" s="1"/>
  <c r="G112"/>
  <c r="G109"/>
  <c r="G106"/>
  <c r="G103"/>
  <c r="H103" s="1"/>
  <c r="G92"/>
  <c r="G89"/>
  <c r="H89" s="1"/>
  <c r="G86"/>
  <c r="G83"/>
  <c r="G80"/>
  <c r="G77"/>
  <c r="G39"/>
  <c r="H39" s="1"/>
  <c r="G30"/>
  <c r="G27"/>
  <c r="F17" i="77"/>
  <c r="D134"/>
  <c r="D106"/>
  <c r="D101"/>
  <c r="D96"/>
  <c r="D99" s="1"/>
  <c r="D67"/>
  <c r="D82" s="1"/>
  <c r="D64"/>
  <c r="D63" s="1"/>
  <c r="D59"/>
  <c r="D58" s="1"/>
  <c r="D54"/>
  <c r="D51"/>
  <c r="D38"/>
  <c r="D29"/>
  <c r="D27"/>
  <c r="D26"/>
  <c r="D17"/>
  <c r="D11"/>
  <c r="D10"/>
  <c r="U104" i="85"/>
  <c r="F134" i="77"/>
  <c r="G134" s="1"/>
  <c r="F106"/>
  <c r="G106" s="1"/>
  <c r="F101"/>
  <c r="G101" s="1"/>
  <c r="F99"/>
  <c r="G99" s="1"/>
  <c r="F67"/>
  <c r="G67" s="1"/>
  <c r="F63"/>
  <c r="G63" s="1"/>
  <c r="F59"/>
  <c r="F54"/>
  <c r="G54" s="1"/>
  <c r="F51"/>
  <c r="F38"/>
  <c r="G38" s="1"/>
  <c r="F31"/>
  <c r="G31" s="1"/>
  <c r="E199" i="76"/>
  <c r="E184"/>
  <c r="E94"/>
  <c r="E79"/>
  <c r="F199"/>
  <c r="F184"/>
  <c r="F94"/>
  <c r="F79"/>
  <c r="G199"/>
  <c r="G184"/>
  <c r="G94"/>
  <c r="G79"/>
  <c r="D25" i="74"/>
  <c r="D16"/>
  <c r="D12"/>
  <c r="C12"/>
  <c r="C25" s="1"/>
  <c r="F16"/>
  <c r="F12" s="1"/>
  <c r="F25" s="1"/>
  <c r="E12"/>
  <c r="E25" s="1"/>
  <c r="H12"/>
  <c r="G12"/>
  <c r="N261" i="84" l="1"/>
  <c r="H25" i="74"/>
  <c r="J25" s="1"/>
  <c r="J12"/>
  <c r="G25"/>
  <c r="I12"/>
  <c r="H86" i="78"/>
  <c r="H77"/>
  <c r="H92"/>
  <c r="H118"/>
  <c r="N197" i="84"/>
  <c r="N189"/>
  <c r="AL289"/>
  <c r="AL198"/>
  <c r="AL227"/>
  <c r="AL186"/>
  <c r="AL196"/>
  <c r="AL176"/>
  <c r="N181"/>
  <c r="N173"/>
  <c r="N229"/>
  <c r="N171"/>
  <c r="N237"/>
  <c r="AL236"/>
  <c r="N205"/>
  <c r="AL203"/>
  <c r="P145"/>
  <c r="R145" s="1"/>
  <c r="AH36"/>
  <c r="N13"/>
  <c r="P91"/>
  <c r="R91" s="1"/>
  <c r="AH74"/>
  <c r="R81"/>
  <c r="AL261"/>
  <c r="N268"/>
  <c r="N258"/>
  <c r="N99"/>
  <c r="N279"/>
  <c r="P286"/>
  <c r="R286" s="1"/>
  <c r="R281"/>
  <c r="N288"/>
  <c r="N291"/>
  <c r="N290"/>
  <c r="L304"/>
  <c r="AL310"/>
  <c r="N310"/>
  <c r="L314"/>
  <c r="L319" s="1"/>
  <c r="M123"/>
  <c r="N123" s="1"/>
  <c r="N122"/>
  <c r="M135"/>
  <c r="N135" s="1"/>
  <c r="N134"/>
  <c r="M144"/>
  <c r="N144" s="1"/>
  <c r="N143"/>
  <c r="M90"/>
  <c r="N90" s="1"/>
  <c r="N89"/>
  <c r="M142"/>
  <c r="N140"/>
  <c r="M154"/>
  <c r="N154" s="1"/>
  <c r="N153"/>
  <c r="AG90"/>
  <c r="AH90" s="1"/>
  <c r="AH89"/>
  <c r="AG154"/>
  <c r="AH154" s="1"/>
  <c r="AH153"/>
  <c r="AG123"/>
  <c r="AH123" s="1"/>
  <c r="AH122"/>
  <c r="AG139"/>
  <c r="AH139" s="1"/>
  <c r="AH138"/>
  <c r="AG121"/>
  <c r="AH121" s="1"/>
  <c r="AH120"/>
  <c r="AG135"/>
  <c r="AH135" s="1"/>
  <c r="AH134"/>
  <c r="AG133"/>
  <c r="AH133" s="1"/>
  <c r="AH132"/>
  <c r="AG144"/>
  <c r="AH144" s="1"/>
  <c r="AH143"/>
  <c r="AG156"/>
  <c r="AH156" s="1"/>
  <c r="AH155"/>
  <c r="AK318"/>
  <c r="AL318" s="1"/>
  <c r="AL317"/>
  <c r="AK252"/>
  <c r="AL252" s="1"/>
  <c r="AL251"/>
  <c r="AK316"/>
  <c r="AL316" s="1"/>
  <c r="AL315"/>
  <c r="AK285"/>
  <c r="AL285" s="1"/>
  <c r="AL284"/>
  <c r="AK301"/>
  <c r="AL301" s="1"/>
  <c r="AL300"/>
  <c r="AK283"/>
  <c r="AL283" s="1"/>
  <c r="AL282"/>
  <c r="AK297"/>
  <c r="AL297" s="1"/>
  <c r="AL296"/>
  <c r="AK295"/>
  <c r="AL295" s="1"/>
  <c r="AL294"/>
  <c r="AK306"/>
  <c r="AL306" s="1"/>
  <c r="AL305"/>
  <c r="M272"/>
  <c r="N265"/>
  <c r="H51" i="78"/>
  <c r="H30"/>
  <c r="E32" i="79"/>
  <c r="J32" s="1"/>
  <c r="D31" i="77"/>
  <c r="U272" i="85"/>
  <c r="G51" i="77"/>
  <c r="F58"/>
  <c r="G58" s="1"/>
  <c r="G59"/>
  <c r="F9"/>
  <c r="F25" s="1"/>
  <c r="G17"/>
  <c r="D14" i="79"/>
  <c r="G40"/>
  <c r="G36"/>
  <c r="L36"/>
  <c r="D32"/>
  <c r="E14"/>
  <c r="J14" s="1"/>
  <c r="G13"/>
  <c r="H34" i="78"/>
  <c r="H62"/>
  <c r="H121"/>
  <c r="M121"/>
  <c r="E99"/>
  <c r="E27"/>
  <c r="E64" s="1"/>
  <c r="H83"/>
  <c r="H112"/>
  <c r="H80"/>
  <c r="H109"/>
  <c r="H106"/>
  <c r="H97"/>
  <c r="F132" i="77"/>
  <c r="G132" s="1"/>
  <c r="D34"/>
  <c r="D66" s="1"/>
  <c r="D132"/>
  <c r="D9"/>
  <c r="F34"/>
  <c r="G34" s="1"/>
  <c r="U244" i="85"/>
  <c r="H11" i="84"/>
  <c r="H15"/>
  <c r="H19"/>
  <c r="H23"/>
  <c r="H27"/>
  <c r="H31"/>
  <c r="H35"/>
  <c r="H39"/>
  <c r="H43"/>
  <c r="H47"/>
  <c r="H51"/>
  <c r="H55"/>
  <c r="H59"/>
  <c r="H63"/>
  <c r="H67"/>
  <c r="H71"/>
  <c r="H75"/>
  <c r="H79"/>
  <c r="H84"/>
  <c r="H89"/>
  <c r="H90" s="1"/>
  <c r="H96"/>
  <c r="H101"/>
  <c r="H106"/>
  <c r="H113"/>
  <c r="H117"/>
  <c r="H129"/>
  <c r="H150"/>
  <c r="H173"/>
  <c r="H177"/>
  <c r="H181"/>
  <c r="H185"/>
  <c r="H189"/>
  <c r="H193"/>
  <c r="H197"/>
  <c r="H201"/>
  <c r="H205"/>
  <c r="H209"/>
  <c r="H213"/>
  <c r="H217"/>
  <c r="H221"/>
  <c r="H225"/>
  <c r="H229"/>
  <c r="H233"/>
  <c r="H237"/>
  <c r="H241"/>
  <c r="H258"/>
  <c r="H263"/>
  <c r="H268"/>
  <c r="H275"/>
  <c r="H279"/>
  <c r="H288"/>
  <c r="H292"/>
  <c r="H313"/>
  <c r="G9"/>
  <c r="G13"/>
  <c r="G17"/>
  <c r="G21"/>
  <c r="G25"/>
  <c r="G29"/>
  <c r="G33"/>
  <c r="G37"/>
  <c r="G41"/>
  <c r="G45"/>
  <c r="G49"/>
  <c r="G53"/>
  <c r="G57"/>
  <c r="G61"/>
  <c r="G65"/>
  <c r="G69"/>
  <c r="G73"/>
  <c r="G77"/>
  <c r="G86"/>
  <c r="G97"/>
  <c r="G107"/>
  <c r="G114"/>
  <c r="G118"/>
  <c r="G127"/>
  <c r="G132"/>
  <c r="G133" s="1"/>
  <c r="G141"/>
  <c r="G148"/>
  <c r="G172"/>
  <c r="G176"/>
  <c r="G180"/>
  <c r="G184"/>
  <c r="G188"/>
  <c r="G192"/>
  <c r="G196"/>
  <c r="G200"/>
  <c r="G204"/>
  <c r="G208"/>
  <c r="G212"/>
  <c r="G216"/>
  <c r="G220"/>
  <c r="G224"/>
  <c r="G228"/>
  <c r="G232"/>
  <c r="G236"/>
  <c r="G240"/>
  <c r="G245"/>
  <c r="G249"/>
  <c r="G257"/>
  <c r="G262"/>
  <c r="G267"/>
  <c r="G278"/>
  <c r="G291"/>
  <c r="G300"/>
  <c r="G301" s="1"/>
  <c r="G305"/>
  <c r="G306" s="1"/>
  <c r="G311"/>
  <c r="AK272"/>
  <c r="AI272"/>
  <c r="AB124"/>
  <c r="AB253"/>
  <c r="AD253" s="1"/>
  <c r="AA286"/>
  <c r="X91"/>
  <c r="Z91" s="1"/>
  <c r="X145"/>
  <c r="W307"/>
  <c r="T124"/>
  <c r="T253"/>
  <c r="V253" s="1"/>
  <c r="S286"/>
  <c r="H10"/>
  <c r="H14"/>
  <c r="H18"/>
  <c r="H22"/>
  <c r="H26"/>
  <c r="H30"/>
  <c r="H34"/>
  <c r="H38"/>
  <c r="H42"/>
  <c r="H46"/>
  <c r="H50"/>
  <c r="H54"/>
  <c r="H58"/>
  <c r="H62"/>
  <c r="H66"/>
  <c r="H70"/>
  <c r="H74"/>
  <c r="H78"/>
  <c r="H83"/>
  <c r="H87"/>
  <c r="H95"/>
  <c r="H100"/>
  <c r="H105"/>
  <c r="H109"/>
  <c r="H116"/>
  <c r="H128"/>
  <c r="H141"/>
  <c r="H149"/>
  <c r="H155"/>
  <c r="H156" s="1"/>
  <c r="H172"/>
  <c r="H176"/>
  <c r="H180"/>
  <c r="H184"/>
  <c r="H188"/>
  <c r="H200"/>
  <c r="H204"/>
  <c r="H208"/>
  <c r="H212"/>
  <c r="H216"/>
  <c r="H220"/>
  <c r="H224"/>
  <c r="H228"/>
  <c r="H232"/>
  <c r="H236"/>
  <c r="H240"/>
  <c r="H245"/>
  <c r="H249"/>
  <c r="H257"/>
  <c r="H262"/>
  <c r="H267"/>
  <c r="H271"/>
  <c r="H278"/>
  <c r="H284"/>
  <c r="H285" s="1"/>
  <c r="H291"/>
  <c r="H312"/>
  <c r="K81"/>
  <c r="G12"/>
  <c r="G16"/>
  <c r="G20"/>
  <c r="G24"/>
  <c r="G28"/>
  <c r="G32"/>
  <c r="G36"/>
  <c r="G40"/>
  <c r="G44"/>
  <c r="G48"/>
  <c r="G52"/>
  <c r="G56"/>
  <c r="G60"/>
  <c r="G64"/>
  <c r="G68"/>
  <c r="G72"/>
  <c r="G76"/>
  <c r="G80"/>
  <c r="G85"/>
  <c r="G96"/>
  <c r="G101"/>
  <c r="G106"/>
  <c r="K119"/>
  <c r="G117"/>
  <c r="K131"/>
  <c r="G130"/>
  <c r="G140"/>
  <c r="G147"/>
  <c r="G151"/>
  <c r="G171"/>
  <c r="G175"/>
  <c r="G179"/>
  <c r="G183"/>
  <c r="G187"/>
  <c r="G191"/>
  <c r="G195"/>
  <c r="G199"/>
  <c r="G203"/>
  <c r="G207"/>
  <c r="G211"/>
  <c r="G215"/>
  <c r="G219"/>
  <c r="G223"/>
  <c r="G227"/>
  <c r="G231"/>
  <c r="G235"/>
  <c r="G239"/>
  <c r="G244"/>
  <c r="G248"/>
  <c r="G256"/>
  <c r="G261"/>
  <c r="G266"/>
  <c r="G270"/>
  <c r="G277"/>
  <c r="G290"/>
  <c r="G303"/>
  <c r="G310"/>
  <c r="G265"/>
  <c r="K272"/>
  <c r="AJ272"/>
  <c r="AB307"/>
  <c r="X286"/>
  <c r="Z286" s="1"/>
  <c r="T307"/>
  <c r="V307" s="1"/>
  <c r="O124"/>
  <c r="O253"/>
  <c r="H9"/>
  <c r="H13"/>
  <c r="H17"/>
  <c r="H21"/>
  <c r="H25"/>
  <c r="H29"/>
  <c r="H33"/>
  <c r="H37"/>
  <c r="H41"/>
  <c r="H45"/>
  <c r="H49"/>
  <c r="H53"/>
  <c r="H57"/>
  <c r="H61"/>
  <c r="H65"/>
  <c r="H69"/>
  <c r="H73"/>
  <c r="H77"/>
  <c r="H82"/>
  <c r="H86"/>
  <c r="H94"/>
  <c r="H104"/>
  <c r="H108"/>
  <c r="H115"/>
  <c r="H120"/>
  <c r="H121" s="1"/>
  <c r="H127"/>
  <c r="H132"/>
  <c r="H133" s="1"/>
  <c r="H140"/>
  <c r="H142" s="1"/>
  <c r="H148"/>
  <c r="H153"/>
  <c r="H154" s="1"/>
  <c r="H175"/>
  <c r="H179"/>
  <c r="H183"/>
  <c r="H187"/>
  <c r="H191"/>
  <c r="H199"/>
  <c r="H203"/>
  <c r="H207"/>
  <c r="H211"/>
  <c r="H215"/>
  <c r="H219"/>
  <c r="H223"/>
  <c r="H227"/>
  <c r="H231"/>
  <c r="H235"/>
  <c r="H239"/>
  <c r="H244"/>
  <c r="H248"/>
  <c r="H261"/>
  <c r="H264" s="1"/>
  <c r="H266"/>
  <c r="H270"/>
  <c r="L281"/>
  <c r="H290"/>
  <c r="H296"/>
  <c r="H297" s="1"/>
  <c r="H305"/>
  <c r="H306" s="1"/>
  <c r="H311"/>
  <c r="G11"/>
  <c r="G15"/>
  <c r="G19"/>
  <c r="G23"/>
  <c r="G27"/>
  <c r="G31"/>
  <c r="G35"/>
  <c r="G39"/>
  <c r="G43"/>
  <c r="G47"/>
  <c r="G51"/>
  <c r="G55"/>
  <c r="G59"/>
  <c r="G63"/>
  <c r="G67"/>
  <c r="G71"/>
  <c r="G75"/>
  <c r="G79"/>
  <c r="G84"/>
  <c r="G89"/>
  <c r="G90" s="1"/>
  <c r="G95"/>
  <c r="G100"/>
  <c r="G105"/>
  <c r="G109"/>
  <c r="G116"/>
  <c r="G129"/>
  <c r="G150"/>
  <c r="K243"/>
  <c r="G174"/>
  <c r="G178"/>
  <c r="G182"/>
  <c r="G186"/>
  <c r="G190"/>
  <c r="G194"/>
  <c r="G198"/>
  <c r="G202"/>
  <c r="G206"/>
  <c r="G210"/>
  <c r="G214"/>
  <c r="G218"/>
  <c r="G222"/>
  <c r="G226"/>
  <c r="G230"/>
  <c r="G234"/>
  <c r="G238"/>
  <c r="G242"/>
  <c r="G247"/>
  <c r="K260"/>
  <c r="G259"/>
  <c r="G269"/>
  <c r="G280"/>
  <c r="G309"/>
  <c r="G313"/>
  <c r="H265"/>
  <c r="L272"/>
  <c r="H8"/>
  <c r="H12"/>
  <c r="H16"/>
  <c r="H20"/>
  <c r="H24"/>
  <c r="H28"/>
  <c r="H32"/>
  <c r="H40"/>
  <c r="H44"/>
  <c r="H48"/>
  <c r="H52"/>
  <c r="H56"/>
  <c r="H60"/>
  <c r="H64"/>
  <c r="H68"/>
  <c r="H72"/>
  <c r="H76"/>
  <c r="H80"/>
  <c r="H85"/>
  <c r="H93"/>
  <c r="H97"/>
  <c r="H103"/>
  <c r="H107"/>
  <c r="H114"/>
  <c r="H118"/>
  <c r="H126"/>
  <c r="H130"/>
  <c r="H138"/>
  <c r="H139" s="1"/>
  <c r="H147"/>
  <c r="H151"/>
  <c r="H170"/>
  <c r="H174"/>
  <c r="H178"/>
  <c r="H182"/>
  <c r="H186"/>
  <c r="H190"/>
  <c r="H202"/>
  <c r="H206"/>
  <c r="H210"/>
  <c r="H214"/>
  <c r="H218"/>
  <c r="H222"/>
  <c r="H226"/>
  <c r="H230"/>
  <c r="H234"/>
  <c r="H238"/>
  <c r="H242"/>
  <c r="H247"/>
  <c r="H255"/>
  <c r="H259"/>
  <c r="H269"/>
  <c r="H276"/>
  <c r="H280"/>
  <c r="H303"/>
  <c r="H310"/>
  <c r="H315"/>
  <c r="H316" s="1"/>
  <c r="G10"/>
  <c r="G14"/>
  <c r="G18"/>
  <c r="G22"/>
  <c r="G26"/>
  <c r="G30"/>
  <c r="G34"/>
  <c r="G38"/>
  <c r="G42"/>
  <c r="G46"/>
  <c r="G50"/>
  <c r="G54"/>
  <c r="G58"/>
  <c r="G62"/>
  <c r="G66"/>
  <c r="G70"/>
  <c r="G74"/>
  <c r="G78"/>
  <c r="G83"/>
  <c r="G87"/>
  <c r="G94"/>
  <c r="G104"/>
  <c r="G108"/>
  <c r="G115"/>
  <c r="G128"/>
  <c r="K142"/>
  <c r="K145" s="1"/>
  <c r="G149"/>
  <c r="G173"/>
  <c r="G177"/>
  <c r="G181"/>
  <c r="G185"/>
  <c r="G189"/>
  <c r="G193"/>
  <c r="G197"/>
  <c r="G201"/>
  <c r="G205"/>
  <c r="G209"/>
  <c r="G213"/>
  <c r="G217"/>
  <c r="G221"/>
  <c r="G225"/>
  <c r="G229"/>
  <c r="G233"/>
  <c r="G237"/>
  <c r="G241"/>
  <c r="K250"/>
  <c r="G258"/>
  <c r="K264"/>
  <c r="G268"/>
  <c r="G275"/>
  <c r="G279"/>
  <c r="G288"/>
  <c r="G292"/>
  <c r="K301"/>
  <c r="K307" s="1"/>
  <c r="K306"/>
  <c r="G312"/>
  <c r="G123" i="78"/>
  <c r="F27"/>
  <c r="F123"/>
  <c r="H36" i="84"/>
  <c r="H192"/>
  <c r="H196"/>
  <c r="H195"/>
  <c r="H194"/>
  <c r="H198"/>
  <c r="L293"/>
  <c r="H43" i="78"/>
  <c r="E123"/>
  <c r="G99"/>
  <c r="F99"/>
  <c r="F82" i="77"/>
  <c r="G82" s="1"/>
  <c r="I173" i="84"/>
  <c r="J173" s="1"/>
  <c r="I177"/>
  <c r="J177" s="1"/>
  <c r="I181"/>
  <c r="J181" s="1"/>
  <c r="I185"/>
  <c r="J185" s="1"/>
  <c r="I189"/>
  <c r="I193"/>
  <c r="J193" s="1"/>
  <c r="I197"/>
  <c r="J197" s="1"/>
  <c r="I201"/>
  <c r="J201" s="1"/>
  <c r="I205"/>
  <c r="J205" s="1"/>
  <c r="I209"/>
  <c r="I213"/>
  <c r="J213" s="1"/>
  <c r="I217"/>
  <c r="I221"/>
  <c r="J221" s="1"/>
  <c r="I225"/>
  <c r="J225" s="1"/>
  <c r="I229"/>
  <c r="J229" s="1"/>
  <c r="I233"/>
  <c r="J233" s="1"/>
  <c r="I237"/>
  <c r="J237" s="1"/>
  <c r="I241"/>
  <c r="J241" s="1"/>
  <c r="I246"/>
  <c r="I258"/>
  <c r="I263"/>
  <c r="J263" s="1"/>
  <c r="I268"/>
  <c r="J268" s="1"/>
  <c r="I278"/>
  <c r="J278" s="1"/>
  <c r="I291"/>
  <c r="I300"/>
  <c r="I309"/>
  <c r="J309" s="1"/>
  <c r="I313"/>
  <c r="J313" s="1"/>
  <c r="I172"/>
  <c r="I176"/>
  <c r="I180"/>
  <c r="I184"/>
  <c r="J184" s="1"/>
  <c r="I188"/>
  <c r="I192"/>
  <c r="I196"/>
  <c r="I200"/>
  <c r="J200" s="1"/>
  <c r="I204"/>
  <c r="J204" s="1"/>
  <c r="I208"/>
  <c r="J208" s="1"/>
  <c r="I212"/>
  <c r="J212" s="1"/>
  <c r="I216"/>
  <c r="J216" s="1"/>
  <c r="I220"/>
  <c r="J220" s="1"/>
  <c r="I224"/>
  <c r="J224" s="1"/>
  <c r="I228"/>
  <c r="I232"/>
  <c r="J232" s="1"/>
  <c r="I236"/>
  <c r="J236" s="1"/>
  <c r="I240"/>
  <c r="J240" s="1"/>
  <c r="I245"/>
  <c r="J245" s="1"/>
  <c r="I249"/>
  <c r="J249" s="1"/>
  <c r="I257"/>
  <c r="I262"/>
  <c r="J262" s="1"/>
  <c r="I267"/>
  <c r="J267" s="1"/>
  <c r="I271"/>
  <c r="J271" s="1"/>
  <c r="I277"/>
  <c r="I290"/>
  <c r="I305"/>
  <c r="I312"/>
  <c r="J312" s="1"/>
  <c r="I171"/>
  <c r="I175"/>
  <c r="J175" s="1"/>
  <c r="I179"/>
  <c r="J179" s="1"/>
  <c r="I183"/>
  <c r="J183" s="1"/>
  <c r="I187"/>
  <c r="J187" s="1"/>
  <c r="I191"/>
  <c r="J191" s="1"/>
  <c r="I195"/>
  <c r="I199"/>
  <c r="J199" s="1"/>
  <c r="I203"/>
  <c r="J203" s="1"/>
  <c r="I207"/>
  <c r="J207" s="1"/>
  <c r="I211"/>
  <c r="I215"/>
  <c r="J215" s="1"/>
  <c r="I219"/>
  <c r="I223"/>
  <c r="J223" s="1"/>
  <c r="I227"/>
  <c r="I231"/>
  <c r="J231" s="1"/>
  <c r="I235"/>
  <c r="I239"/>
  <c r="J239" s="1"/>
  <c r="I244"/>
  <c r="I248"/>
  <c r="J248" s="1"/>
  <c r="I256"/>
  <c r="I261"/>
  <c r="I266"/>
  <c r="J266" s="1"/>
  <c r="I270"/>
  <c r="J270" s="1"/>
  <c r="I276"/>
  <c r="I280"/>
  <c r="J280" s="1"/>
  <c r="I289"/>
  <c r="I303"/>
  <c r="J303" s="1"/>
  <c r="I311"/>
  <c r="I317"/>
  <c r="I170"/>
  <c r="I174"/>
  <c r="J174" s="1"/>
  <c r="I178"/>
  <c r="J178" s="1"/>
  <c r="I182"/>
  <c r="J182" s="1"/>
  <c r="I186"/>
  <c r="I190"/>
  <c r="J190" s="1"/>
  <c r="I194"/>
  <c r="J194" s="1"/>
  <c r="I198"/>
  <c r="I202"/>
  <c r="J202" s="1"/>
  <c r="I206"/>
  <c r="J206" s="1"/>
  <c r="I210"/>
  <c r="J210" s="1"/>
  <c r="I214"/>
  <c r="J214" s="1"/>
  <c r="I218"/>
  <c r="J218" s="1"/>
  <c r="I222"/>
  <c r="J222" s="1"/>
  <c r="I226"/>
  <c r="J226" s="1"/>
  <c r="I230"/>
  <c r="J230" s="1"/>
  <c r="I234"/>
  <c r="J234" s="1"/>
  <c r="I238"/>
  <c r="J238" s="1"/>
  <c r="I242"/>
  <c r="J242" s="1"/>
  <c r="I255"/>
  <c r="I259"/>
  <c r="J259" s="1"/>
  <c r="I265"/>
  <c r="I269"/>
  <c r="J269" s="1"/>
  <c r="I275"/>
  <c r="I279"/>
  <c r="J279" s="1"/>
  <c r="I288"/>
  <c r="J288" s="1"/>
  <c r="I292"/>
  <c r="J292" s="1"/>
  <c r="I310"/>
  <c r="J310" s="1"/>
  <c r="M250"/>
  <c r="N250" s="1"/>
  <c r="I247"/>
  <c r="M285"/>
  <c r="N285" s="1"/>
  <c r="I284"/>
  <c r="M264"/>
  <c r="M316"/>
  <c r="N316" s="1"/>
  <c r="I315"/>
  <c r="M252"/>
  <c r="N252" s="1"/>
  <c r="I251"/>
  <c r="M283"/>
  <c r="N283" s="1"/>
  <c r="I282"/>
  <c r="M297"/>
  <c r="N297" s="1"/>
  <c r="I296"/>
  <c r="M318"/>
  <c r="N318" s="1"/>
  <c r="M304"/>
  <c r="I302"/>
  <c r="M295"/>
  <c r="N295" s="1"/>
  <c r="I294"/>
  <c r="I10"/>
  <c r="J10" s="1"/>
  <c r="I14"/>
  <c r="J14" s="1"/>
  <c r="I18"/>
  <c r="I22"/>
  <c r="J22" s="1"/>
  <c r="I26"/>
  <c r="J26" s="1"/>
  <c r="I30"/>
  <c r="J30" s="1"/>
  <c r="I34"/>
  <c r="J34" s="1"/>
  <c r="I38"/>
  <c r="J38" s="1"/>
  <c r="I42"/>
  <c r="J42" s="1"/>
  <c r="I46"/>
  <c r="J46" s="1"/>
  <c r="I50"/>
  <c r="J50" s="1"/>
  <c r="I54"/>
  <c r="J54" s="1"/>
  <c r="I58"/>
  <c r="J58" s="1"/>
  <c r="I62"/>
  <c r="J62" s="1"/>
  <c r="I66"/>
  <c r="J66" s="1"/>
  <c r="I70"/>
  <c r="J70" s="1"/>
  <c r="I74"/>
  <c r="J74" s="1"/>
  <c r="I78"/>
  <c r="J78" s="1"/>
  <c r="I83"/>
  <c r="J83" s="1"/>
  <c r="I87"/>
  <c r="J87" s="1"/>
  <c r="I95"/>
  <c r="J95" s="1"/>
  <c r="I100"/>
  <c r="J100" s="1"/>
  <c r="I105"/>
  <c r="J105" s="1"/>
  <c r="I109"/>
  <c r="J109" s="1"/>
  <c r="I116"/>
  <c r="J116" s="1"/>
  <c r="I129"/>
  <c r="J129" s="1"/>
  <c r="I138"/>
  <c r="I147"/>
  <c r="J147" s="1"/>
  <c r="I151"/>
  <c r="J151" s="1"/>
  <c r="I9"/>
  <c r="I13"/>
  <c r="J13" s="1"/>
  <c r="I17"/>
  <c r="J17" s="1"/>
  <c r="I21"/>
  <c r="J21" s="1"/>
  <c r="I25"/>
  <c r="J25" s="1"/>
  <c r="I29"/>
  <c r="J29" s="1"/>
  <c r="I33"/>
  <c r="J33" s="1"/>
  <c r="I37"/>
  <c r="J37" s="1"/>
  <c r="I41"/>
  <c r="J41" s="1"/>
  <c r="I45"/>
  <c r="J45" s="1"/>
  <c r="I49"/>
  <c r="J49" s="1"/>
  <c r="I53"/>
  <c r="J53" s="1"/>
  <c r="I57"/>
  <c r="J57" s="1"/>
  <c r="I61"/>
  <c r="J61" s="1"/>
  <c r="I65"/>
  <c r="J65" s="1"/>
  <c r="I69"/>
  <c r="J69" s="1"/>
  <c r="I73"/>
  <c r="J73" s="1"/>
  <c r="I77"/>
  <c r="J77" s="1"/>
  <c r="I86"/>
  <c r="J86" s="1"/>
  <c r="I94"/>
  <c r="J94" s="1"/>
  <c r="I104"/>
  <c r="J104" s="1"/>
  <c r="I108"/>
  <c r="J108" s="1"/>
  <c r="I115"/>
  <c r="I120"/>
  <c r="I128"/>
  <c r="J128" s="1"/>
  <c r="I150"/>
  <c r="J150" s="1"/>
  <c r="I12"/>
  <c r="J12" s="1"/>
  <c r="I16"/>
  <c r="J16" s="1"/>
  <c r="I20"/>
  <c r="J20" s="1"/>
  <c r="I24"/>
  <c r="J24" s="1"/>
  <c r="I28"/>
  <c r="J28" s="1"/>
  <c r="I32"/>
  <c r="J32" s="1"/>
  <c r="I36"/>
  <c r="I40"/>
  <c r="J40" s="1"/>
  <c r="I44"/>
  <c r="J44" s="1"/>
  <c r="I48"/>
  <c r="J48" s="1"/>
  <c r="I52"/>
  <c r="J52" s="1"/>
  <c r="I56"/>
  <c r="J56" s="1"/>
  <c r="I60"/>
  <c r="J60" s="1"/>
  <c r="I64"/>
  <c r="J64" s="1"/>
  <c r="I68"/>
  <c r="J68" s="1"/>
  <c r="I72"/>
  <c r="J72" s="1"/>
  <c r="I76"/>
  <c r="J76" s="1"/>
  <c r="I80"/>
  <c r="J80" s="1"/>
  <c r="I85"/>
  <c r="J85" s="1"/>
  <c r="I97"/>
  <c r="J97" s="1"/>
  <c r="I107"/>
  <c r="J107" s="1"/>
  <c r="I114"/>
  <c r="J114" s="1"/>
  <c r="I118"/>
  <c r="J118" s="1"/>
  <c r="I127"/>
  <c r="J127" s="1"/>
  <c r="I132"/>
  <c r="I141"/>
  <c r="J141" s="1"/>
  <c r="I149"/>
  <c r="J149" s="1"/>
  <c r="I155"/>
  <c r="I11"/>
  <c r="J11" s="1"/>
  <c r="I15"/>
  <c r="J15" s="1"/>
  <c r="I19"/>
  <c r="J19" s="1"/>
  <c r="I23"/>
  <c r="J23" s="1"/>
  <c r="I27"/>
  <c r="J27" s="1"/>
  <c r="I31"/>
  <c r="J31" s="1"/>
  <c r="I35"/>
  <c r="J35" s="1"/>
  <c r="I39"/>
  <c r="J39" s="1"/>
  <c r="I43"/>
  <c r="J43" s="1"/>
  <c r="I47"/>
  <c r="J47" s="1"/>
  <c r="I51"/>
  <c r="J51" s="1"/>
  <c r="I55"/>
  <c r="J55" s="1"/>
  <c r="I59"/>
  <c r="J59" s="1"/>
  <c r="I63"/>
  <c r="J63" s="1"/>
  <c r="I67"/>
  <c r="J67" s="1"/>
  <c r="I71"/>
  <c r="J71" s="1"/>
  <c r="I75"/>
  <c r="J75" s="1"/>
  <c r="I79"/>
  <c r="J79" s="1"/>
  <c r="I84"/>
  <c r="J84" s="1"/>
  <c r="I96"/>
  <c r="J96" s="1"/>
  <c r="I101"/>
  <c r="J101" s="1"/>
  <c r="I106"/>
  <c r="J106" s="1"/>
  <c r="I117"/>
  <c r="J117" s="1"/>
  <c r="I130"/>
  <c r="J130" s="1"/>
  <c r="I148"/>
  <c r="M81"/>
  <c r="M121"/>
  <c r="N121" s="1"/>
  <c r="M133"/>
  <c r="N133" s="1"/>
  <c r="H88"/>
  <c r="H110"/>
  <c r="AU253"/>
  <c r="AU307"/>
  <c r="G152"/>
  <c r="H131"/>
  <c r="G142"/>
  <c r="AR124"/>
  <c r="AR298"/>
  <c r="AQ136"/>
  <c r="AQ273"/>
  <c r="AQ319"/>
  <c r="AN136"/>
  <c r="AN273"/>
  <c r="AP273" s="1"/>
  <c r="AN319"/>
  <c r="AP319" s="1"/>
  <c r="AM111"/>
  <c r="AM157"/>
  <c r="AM298"/>
  <c r="AF253"/>
  <c r="AH253" s="1"/>
  <c r="AB91"/>
  <c r="AD91" s="1"/>
  <c r="AB145"/>
  <c r="AB286"/>
  <c r="AA124"/>
  <c r="AA253"/>
  <c r="AA307"/>
  <c r="X124"/>
  <c r="Z124" s="1"/>
  <c r="X253"/>
  <c r="Z253" s="1"/>
  <c r="X307"/>
  <c r="Z307" s="1"/>
  <c r="W91"/>
  <c r="W145"/>
  <c r="W286"/>
  <c r="T91"/>
  <c r="V91" s="1"/>
  <c r="T145"/>
  <c r="V145" s="1"/>
  <c r="T286"/>
  <c r="V286" s="1"/>
  <c r="S124"/>
  <c r="S253"/>
  <c r="S307"/>
  <c r="P124"/>
  <c r="P253"/>
  <c r="R253" s="1"/>
  <c r="P307"/>
  <c r="R307" s="1"/>
  <c r="O91"/>
  <c r="O145"/>
  <c r="O286"/>
  <c r="M102"/>
  <c r="M139"/>
  <c r="M156"/>
  <c r="N156" s="1"/>
  <c r="M281"/>
  <c r="N281" s="1"/>
  <c r="M293"/>
  <c r="M301"/>
  <c r="N301" s="1"/>
  <c r="M306"/>
  <c r="N306" s="1"/>
  <c r="L102"/>
  <c r="L139"/>
  <c r="L307"/>
  <c r="K293"/>
  <c r="K298" s="1"/>
  <c r="I89"/>
  <c r="I140"/>
  <c r="I153"/>
  <c r="H300"/>
  <c r="H301" s="1"/>
  <c r="H317"/>
  <c r="H318" s="1"/>
  <c r="G170"/>
  <c r="G255"/>
  <c r="G260" s="1"/>
  <c r="G284"/>
  <c r="G285" s="1"/>
  <c r="G296"/>
  <c r="G297" s="1"/>
  <c r="G315"/>
  <c r="G316" s="1"/>
  <c r="AB111"/>
  <c r="AB157"/>
  <c r="AB298"/>
  <c r="AA136"/>
  <c r="AA273"/>
  <c r="AA319"/>
  <c r="X136"/>
  <c r="Z136" s="1"/>
  <c r="X273"/>
  <c r="Z273" s="1"/>
  <c r="X319"/>
  <c r="Z319" s="1"/>
  <c r="W111"/>
  <c r="W157"/>
  <c r="W298"/>
  <c r="T111"/>
  <c r="V111" s="1"/>
  <c r="T157"/>
  <c r="T298"/>
  <c r="V298" s="1"/>
  <c r="S136"/>
  <c r="S273"/>
  <c r="S319"/>
  <c r="P136"/>
  <c r="R136" s="1"/>
  <c r="P273"/>
  <c r="R273" s="1"/>
  <c r="P319"/>
  <c r="R319" s="1"/>
  <c r="O111"/>
  <c r="O157"/>
  <c r="O298"/>
  <c r="M88"/>
  <c r="N88" s="1"/>
  <c r="M98"/>
  <c r="M110"/>
  <c r="M131"/>
  <c r="L88"/>
  <c r="L98"/>
  <c r="L110"/>
  <c r="L131"/>
  <c r="L136" s="1"/>
  <c r="L142"/>
  <c r="L154"/>
  <c r="L243"/>
  <c r="L253" s="1"/>
  <c r="L260"/>
  <c r="L285"/>
  <c r="L297"/>
  <c r="L316"/>
  <c r="K102"/>
  <c r="K133"/>
  <c r="K136" s="1"/>
  <c r="K281"/>
  <c r="I99"/>
  <c r="H122"/>
  <c r="H123" s="1"/>
  <c r="H134"/>
  <c r="H135" s="1"/>
  <c r="H171"/>
  <c r="H256"/>
  <c r="G99"/>
  <c r="G102" s="1"/>
  <c r="G120"/>
  <c r="G121" s="1"/>
  <c r="G143"/>
  <c r="G144" s="1"/>
  <c r="G246"/>
  <c r="G250" s="1"/>
  <c r="G251"/>
  <c r="G252" s="1"/>
  <c r="G263"/>
  <c r="G264" s="1"/>
  <c r="G271"/>
  <c r="G282"/>
  <c r="G283" s="1"/>
  <c r="G289"/>
  <c r="G293" s="1"/>
  <c r="G298" s="1"/>
  <c r="G294"/>
  <c r="G295" s="1"/>
  <c r="G302"/>
  <c r="G304" s="1"/>
  <c r="G307" s="1"/>
  <c r="M119"/>
  <c r="M152"/>
  <c r="M243"/>
  <c r="M260"/>
  <c r="M314"/>
  <c r="L81"/>
  <c r="L90"/>
  <c r="L119"/>
  <c r="L124" s="1"/>
  <c r="L152"/>
  <c r="L157" s="1"/>
  <c r="L264"/>
  <c r="K88"/>
  <c r="K98"/>
  <c r="K110"/>
  <c r="K152"/>
  <c r="K157" s="1"/>
  <c r="I82"/>
  <c r="J82" s="1"/>
  <c r="I93"/>
  <c r="I103"/>
  <c r="J103" s="1"/>
  <c r="I126"/>
  <c r="I143"/>
  <c r="G82"/>
  <c r="G88" s="1"/>
  <c r="G93"/>
  <c r="G98" s="1"/>
  <c r="G103"/>
  <c r="G110" s="1"/>
  <c r="G126"/>
  <c r="G131" s="1"/>
  <c r="G138"/>
  <c r="G139" s="1"/>
  <c r="G145" s="1"/>
  <c r="G155"/>
  <c r="G156" s="1"/>
  <c r="G276"/>
  <c r="G281" s="1"/>
  <c r="G317"/>
  <c r="G318" s="1"/>
  <c r="AE142"/>
  <c r="AB136"/>
  <c r="AD136" s="1"/>
  <c r="AB273"/>
  <c r="AB319"/>
  <c r="AA111"/>
  <c r="AA157"/>
  <c r="AA159" s="1"/>
  <c r="AA298"/>
  <c r="X111"/>
  <c r="Z111" s="1"/>
  <c r="X157"/>
  <c r="X298"/>
  <c r="Z298" s="1"/>
  <c r="W136"/>
  <c r="W273"/>
  <c r="W319"/>
  <c r="T136"/>
  <c r="T273"/>
  <c r="V273" s="1"/>
  <c r="T319"/>
  <c r="V319" s="1"/>
  <c r="S111"/>
  <c r="S159" s="1"/>
  <c r="S157"/>
  <c r="S298"/>
  <c r="P111"/>
  <c r="R111" s="1"/>
  <c r="P157"/>
  <c r="P298"/>
  <c r="R298" s="1"/>
  <c r="O136"/>
  <c r="O273"/>
  <c r="O319"/>
  <c r="L298"/>
  <c r="K91"/>
  <c r="K273"/>
  <c r="K314"/>
  <c r="I8"/>
  <c r="J8" s="1"/>
  <c r="I113"/>
  <c r="J113" s="1"/>
  <c r="I122"/>
  <c r="I134"/>
  <c r="H99"/>
  <c r="H102" s="1"/>
  <c r="H143"/>
  <c r="H144" s="1"/>
  <c r="H145" s="1"/>
  <c r="H246"/>
  <c r="H251"/>
  <c r="H252" s="1"/>
  <c r="H277"/>
  <c r="H282"/>
  <c r="H283" s="1"/>
  <c r="H289"/>
  <c r="H294"/>
  <c r="H295" s="1"/>
  <c r="H302"/>
  <c r="H304" s="1"/>
  <c r="H309"/>
  <c r="G8"/>
  <c r="G81" s="1"/>
  <c r="G91" s="1"/>
  <c r="G113"/>
  <c r="G119" s="1"/>
  <c r="G124" s="1"/>
  <c r="G122"/>
  <c r="G123" s="1"/>
  <c r="G134"/>
  <c r="G135" s="1"/>
  <c r="G153"/>
  <c r="G154" s="1"/>
  <c r="K286"/>
  <c r="K124"/>
  <c r="K253"/>
  <c r="K319"/>
  <c r="O159"/>
  <c r="S321"/>
  <c r="W321"/>
  <c r="AB321"/>
  <c r="AD321" s="1"/>
  <c r="AK304"/>
  <c r="AJ304"/>
  <c r="AJ307" s="1"/>
  <c r="AJ314"/>
  <c r="AJ319" s="1"/>
  <c r="AG102"/>
  <c r="AH102" s="1"/>
  <c r="AG142"/>
  <c r="AG152"/>
  <c r="AF88"/>
  <c r="AF102"/>
  <c r="AF273"/>
  <c r="AH273" s="1"/>
  <c r="AF319"/>
  <c r="AE81"/>
  <c r="AE119"/>
  <c r="AE124" s="1"/>
  <c r="AJ157"/>
  <c r="AI111"/>
  <c r="AI157"/>
  <c r="AI250"/>
  <c r="AI281"/>
  <c r="AI286" s="1"/>
  <c r="AF98"/>
  <c r="AF110"/>
  <c r="AF131"/>
  <c r="AF136" s="1"/>
  <c r="AE253"/>
  <c r="AE307"/>
  <c r="AQ253"/>
  <c r="AN124"/>
  <c r="AN253"/>
  <c r="AP253" s="1"/>
  <c r="AJ124"/>
  <c r="AJ281"/>
  <c r="AJ286" s="1"/>
  <c r="AI304"/>
  <c r="AI307" s="1"/>
  <c r="AU273"/>
  <c r="AU319"/>
  <c r="AR136"/>
  <c r="AR253"/>
  <c r="AT253" s="1"/>
  <c r="AR307"/>
  <c r="AQ91"/>
  <c r="AQ145"/>
  <c r="AQ286"/>
  <c r="AN91"/>
  <c r="AP91" s="1"/>
  <c r="AN145"/>
  <c r="AN286"/>
  <c r="AP286" s="1"/>
  <c r="AM124"/>
  <c r="AM253"/>
  <c r="AM307"/>
  <c r="AK264"/>
  <c r="AJ136"/>
  <c r="AI124"/>
  <c r="AI243"/>
  <c r="AG98"/>
  <c r="AH98" s="1"/>
  <c r="AG110"/>
  <c r="AH110" s="1"/>
  <c r="AG131"/>
  <c r="AF119"/>
  <c r="AF124" s="1"/>
  <c r="AF286"/>
  <c r="AE88"/>
  <c r="AE145"/>
  <c r="AE273"/>
  <c r="AE319"/>
  <c r="AJ243"/>
  <c r="AU286"/>
  <c r="AR91"/>
  <c r="AT91" s="1"/>
  <c r="AR145"/>
  <c r="AR273"/>
  <c r="AR319"/>
  <c r="AT319" s="1"/>
  <c r="AQ111"/>
  <c r="AQ157"/>
  <c r="AQ298"/>
  <c r="AN111"/>
  <c r="AN157"/>
  <c r="AN298"/>
  <c r="AP298" s="1"/>
  <c r="AM136"/>
  <c r="AM273"/>
  <c r="AM319"/>
  <c r="AK250"/>
  <c r="AK260"/>
  <c r="AK293"/>
  <c r="AJ91"/>
  <c r="AL91" s="1"/>
  <c r="AJ145"/>
  <c r="AJ264"/>
  <c r="AI136"/>
  <c r="AI293"/>
  <c r="AG81"/>
  <c r="AG119"/>
  <c r="AF81"/>
  <c r="AF142"/>
  <c r="AF152"/>
  <c r="AF157" s="1"/>
  <c r="AF298"/>
  <c r="AE102"/>
  <c r="AE131"/>
  <c r="AE136" s="1"/>
  <c r="AE286"/>
  <c r="AE91"/>
  <c r="AU298"/>
  <c r="AR111"/>
  <c r="AR157"/>
  <c r="AR286"/>
  <c r="AQ124"/>
  <c r="AQ307"/>
  <c r="AN307"/>
  <c r="AP307" s="1"/>
  <c r="AM91"/>
  <c r="AM145"/>
  <c r="AM286"/>
  <c r="AK243"/>
  <c r="AK281"/>
  <c r="AK314"/>
  <c r="AJ111"/>
  <c r="AJ250"/>
  <c r="AJ260"/>
  <c r="AJ293"/>
  <c r="AJ298" s="1"/>
  <c r="AI91"/>
  <c r="AI145"/>
  <c r="AI260"/>
  <c r="AI264"/>
  <c r="AI314"/>
  <c r="AI319" s="1"/>
  <c r="AG88"/>
  <c r="AH88" s="1"/>
  <c r="AF307"/>
  <c r="AH307" s="1"/>
  <c r="AE98"/>
  <c r="AE110"/>
  <c r="AE152"/>
  <c r="AE157" s="1"/>
  <c r="AE298"/>
  <c r="AF145"/>
  <c r="AI298"/>
  <c r="AV298"/>
  <c r="AV253"/>
  <c r="AX253" s="1"/>
  <c r="AV307"/>
  <c r="AV273"/>
  <c r="AV319"/>
  <c r="AV286"/>
  <c r="G64" i="78"/>
  <c r="D135" i="77"/>
  <c r="F135"/>
  <c r="G135" s="1"/>
  <c r="E44" i="73"/>
  <c r="E42" s="1"/>
  <c r="E34"/>
  <c r="E28"/>
  <c r="E15" s="1"/>
  <c r="E13"/>
  <c r="E11"/>
  <c r="E9"/>
  <c r="F44"/>
  <c r="F42" s="1"/>
  <c r="F13"/>
  <c r="F11"/>
  <c r="F9"/>
  <c r="G42"/>
  <c r="G15"/>
  <c r="G13"/>
  <c r="G11"/>
  <c r="H11" s="1"/>
  <c r="G9"/>
  <c r="C51" i="72"/>
  <c r="C26"/>
  <c r="C23"/>
  <c r="C16" s="1"/>
  <c r="C36" s="1"/>
  <c r="C37" s="1"/>
  <c r="C15"/>
  <c r="C14"/>
  <c r="D51"/>
  <c r="F51" s="1"/>
  <c r="D26"/>
  <c r="D23"/>
  <c r="D16"/>
  <c r="D36" s="1"/>
  <c r="D14"/>
  <c r="D15" s="1"/>
  <c r="E51"/>
  <c r="E26"/>
  <c r="E16"/>
  <c r="E14"/>
  <c r="E15" s="1"/>
  <c r="I25" i="74" l="1"/>
  <c r="M25"/>
  <c r="H42" i="73"/>
  <c r="J198" i="84"/>
  <c r="J244"/>
  <c r="J195"/>
  <c r="J189"/>
  <c r="J188"/>
  <c r="J170"/>
  <c r="J227"/>
  <c r="J192"/>
  <c r="J196"/>
  <c r="J176"/>
  <c r="J180"/>
  <c r="H250"/>
  <c r="J247"/>
  <c r="J217"/>
  <c r="J211"/>
  <c r="J219"/>
  <c r="J228"/>
  <c r="J186"/>
  <c r="J171"/>
  <c r="J172"/>
  <c r="J235"/>
  <c r="G243"/>
  <c r="G253" s="1"/>
  <c r="J209"/>
  <c r="AL243"/>
  <c r="N243"/>
  <c r="N142"/>
  <c r="AF91"/>
  <c r="J246"/>
  <c r="AL250"/>
  <c r="J9"/>
  <c r="T159"/>
  <c r="V159" s="1"/>
  <c r="J18"/>
  <c r="L91"/>
  <c r="J36"/>
  <c r="AH81"/>
  <c r="N81"/>
  <c r="AL264"/>
  <c r="AL272"/>
  <c r="J258"/>
  <c r="N264"/>
  <c r="N272"/>
  <c r="H260"/>
  <c r="J257"/>
  <c r="J255"/>
  <c r="J256"/>
  <c r="N260"/>
  <c r="N102"/>
  <c r="P159"/>
  <c r="R159" s="1"/>
  <c r="N98"/>
  <c r="N110"/>
  <c r="H98"/>
  <c r="H111" s="1"/>
  <c r="J276"/>
  <c r="J275"/>
  <c r="H281"/>
  <c r="H286" s="1"/>
  <c r="L286"/>
  <c r="J277"/>
  <c r="H119"/>
  <c r="H124" s="1"/>
  <c r="J115"/>
  <c r="J290"/>
  <c r="T321"/>
  <c r="V321" s="1"/>
  <c r="H293"/>
  <c r="H298" s="1"/>
  <c r="J291"/>
  <c r="N293"/>
  <c r="J289"/>
  <c r="X159"/>
  <c r="Z159" s="1"/>
  <c r="N304"/>
  <c r="J302"/>
  <c r="H314"/>
  <c r="H319" s="1"/>
  <c r="J311"/>
  <c r="M124"/>
  <c r="N124" s="1"/>
  <c r="N119"/>
  <c r="M145"/>
  <c r="N139"/>
  <c r="M157"/>
  <c r="N157" s="1"/>
  <c r="N152"/>
  <c r="M136"/>
  <c r="N136" s="1"/>
  <c r="N131"/>
  <c r="AG124"/>
  <c r="AH124" s="1"/>
  <c r="AH119"/>
  <c r="AG136"/>
  <c r="AH136" s="1"/>
  <c r="AH131"/>
  <c r="I98"/>
  <c r="J93"/>
  <c r="I102"/>
  <c r="J102" s="1"/>
  <c r="J99"/>
  <c r="I131"/>
  <c r="J131" s="1"/>
  <c r="J126"/>
  <c r="I133"/>
  <c r="J133" s="1"/>
  <c r="J132"/>
  <c r="I144"/>
  <c r="J144" s="1"/>
  <c r="J143"/>
  <c r="I90"/>
  <c r="J90" s="1"/>
  <c r="J89"/>
  <c r="AG145"/>
  <c r="AH145" s="1"/>
  <c r="AH142"/>
  <c r="I123"/>
  <c r="J123" s="1"/>
  <c r="J122"/>
  <c r="I142"/>
  <c r="J142" s="1"/>
  <c r="J140"/>
  <c r="AG157"/>
  <c r="AH157" s="1"/>
  <c r="AH152"/>
  <c r="I135"/>
  <c r="J135" s="1"/>
  <c r="J134"/>
  <c r="I154"/>
  <c r="J154" s="1"/>
  <c r="J153"/>
  <c r="I156"/>
  <c r="J156" s="1"/>
  <c r="J155"/>
  <c r="I139"/>
  <c r="J139" s="1"/>
  <c r="J138"/>
  <c r="I152"/>
  <c r="J152" s="1"/>
  <c r="J148"/>
  <c r="I121"/>
  <c r="J121" s="1"/>
  <c r="J120"/>
  <c r="AK286"/>
  <c r="AL286" s="1"/>
  <c r="AL281"/>
  <c r="AK319"/>
  <c r="AL319" s="1"/>
  <c r="AL314"/>
  <c r="AK273"/>
  <c r="AL273" s="1"/>
  <c r="AL260"/>
  <c r="AK307"/>
  <c r="AL307" s="1"/>
  <c r="AL304"/>
  <c r="AK298"/>
  <c r="AL298" s="1"/>
  <c r="AL293"/>
  <c r="I285"/>
  <c r="J285" s="1"/>
  <c r="J284"/>
  <c r="I318"/>
  <c r="J318" s="1"/>
  <c r="J317"/>
  <c r="I250"/>
  <c r="I264"/>
  <c r="J264" s="1"/>
  <c r="J261"/>
  <c r="I316"/>
  <c r="J316" s="1"/>
  <c r="J315"/>
  <c r="I301"/>
  <c r="J301" s="1"/>
  <c r="J300"/>
  <c r="I297"/>
  <c r="J297" s="1"/>
  <c r="J296"/>
  <c r="I252"/>
  <c r="J252" s="1"/>
  <c r="J251"/>
  <c r="I272"/>
  <c r="J265"/>
  <c r="I306"/>
  <c r="J306" s="1"/>
  <c r="J305"/>
  <c r="I295"/>
  <c r="J295" s="1"/>
  <c r="J294"/>
  <c r="I283"/>
  <c r="J283" s="1"/>
  <c r="J282"/>
  <c r="M319"/>
  <c r="N319" s="1"/>
  <c r="N314"/>
  <c r="E36" i="72"/>
  <c r="F36" s="1"/>
  <c r="F16"/>
  <c r="D37"/>
  <c r="F14"/>
  <c r="F15"/>
  <c r="G32" i="79"/>
  <c r="F66" i="77"/>
  <c r="G66" s="1"/>
  <c r="G9"/>
  <c r="G25"/>
  <c r="F64" i="78"/>
  <c r="H64" s="1"/>
  <c r="H99"/>
  <c r="H27"/>
  <c r="H123"/>
  <c r="D25" i="77"/>
  <c r="D84" s="1"/>
  <c r="D137" s="1"/>
  <c r="H13" i="73"/>
  <c r="H9"/>
  <c r="H43"/>
  <c r="F15"/>
  <c r="F48" s="1"/>
  <c r="L28"/>
  <c r="H28"/>
  <c r="AI253" i="84"/>
  <c r="I281"/>
  <c r="H81"/>
  <c r="H91" s="1"/>
  <c r="H152"/>
  <c r="H157" s="1"/>
  <c r="G272"/>
  <c r="G273" s="1"/>
  <c r="G314"/>
  <c r="G319" s="1"/>
  <c r="G111"/>
  <c r="AB159"/>
  <c r="AD159" s="1"/>
  <c r="AM159"/>
  <c r="W159"/>
  <c r="H272"/>
  <c r="O321"/>
  <c r="X321"/>
  <c r="Z321" s="1"/>
  <c r="AA321"/>
  <c r="H243"/>
  <c r="I314"/>
  <c r="P321"/>
  <c r="R321" s="1"/>
  <c r="L111"/>
  <c r="I304"/>
  <c r="I81"/>
  <c r="I243"/>
  <c r="I293"/>
  <c r="I260"/>
  <c r="AK253"/>
  <c r="M307"/>
  <c r="N307" s="1"/>
  <c r="M273"/>
  <c r="M286"/>
  <c r="M298"/>
  <c r="N298" s="1"/>
  <c r="M253"/>
  <c r="N253" s="1"/>
  <c r="I88"/>
  <c r="J88" s="1"/>
  <c r="I119"/>
  <c r="I110"/>
  <c r="AG91"/>
  <c r="M91"/>
  <c r="I145"/>
  <c r="J145" s="1"/>
  <c r="AM321"/>
  <c r="G286"/>
  <c r="AF321"/>
  <c r="AH321" s="1"/>
  <c r="AQ321"/>
  <c r="K111"/>
  <c r="K159" s="1"/>
  <c r="M111"/>
  <c r="H307"/>
  <c r="AE111"/>
  <c r="AE159" s="1"/>
  <c r="L273"/>
  <c r="L321" s="1"/>
  <c r="L145"/>
  <c r="G157"/>
  <c r="G159" s="1"/>
  <c r="G136"/>
  <c r="H136"/>
  <c r="K321"/>
  <c r="AE321"/>
  <c r="AR321"/>
  <c r="AT321" s="1"/>
  <c r="AG111"/>
  <c r="AH111" s="1"/>
  <c r="AJ159"/>
  <c r="AL159" s="1"/>
  <c r="AN321"/>
  <c r="AP321" s="1"/>
  <c r="AQ159"/>
  <c r="AU321"/>
  <c r="AF111"/>
  <c r="AI159"/>
  <c r="AR159"/>
  <c r="AT159" s="1"/>
  <c r="AJ253"/>
  <c r="AN159"/>
  <c r="AP159" s="1"/>
  <c r="AI273"/>
  <c r="AI321" s="1"/>
  <c r="AJ273"/>
  <c r="AV321"/>
  <c r="AX321" s="1"/>
  <c r="E48" i="73"/>
  <c r="G48"/>
  <c r="H48" l="1"/>
  <c r="J250" i="84"/>
  <c r="H253"/>
  <c r="N145"/>
  <c r="AF159"/>
  <c r="AH91"/>
  <c r="N91"/>
  <c r="J81"/>
  <c r="J272"/>
  <c r="H273"/>
  <c r="N273"/>
  <c r="N111"/>
  <c r="J98"/>
  <c r="N286"/>
  <c r="I136"/>
  <c r="J136" s="1"/>
  <c r="I157"/>
  <c r="J157" s="1"/>
  <c r="I124"/>
  <c r="J124" s="1"/>
  <c r="J119"/>
  <c r="I111"/>
  <c r="J111" s="1"/>
  <c r="J110"/>
  <c r="AK321"/>
  <c r="AL253"/>
  <c r="I286"/>
  <c r="J286" s="1"/>
  <c r="J281"/>
  <c r="I307"/>
  <c r="J307" s="1"/>
  <c r="J304"/>
  <c r="I319"/>
  <c r="J319" s="1"/>
  <c r="J314"/>
  <c r="I298"/>
  <c r="J298" s="1"/>
  <c r="J293"/>
  <c r="I273"/>
  <c r="J260"/>
  <c r="I253"/>
  <c r="J243"/>
  <c r="E37" i="72"/>
  <c r="F37" s="1"/>
  <c r="F84" i="77"/>
  <c r="F137" s="1"/>
  <c r="H15" i="73"/>
  <c r="H159" i="84"/>
  <c r="G321"/>
  <c r="L159"/>
  <c r="I91"/>
  <c r="M321"/>
  <c r="N321" s="1"/>
  <c r="AG159"/>
  <c r="M159"/>
  <c r="AJ321"/>
  <c r="E327" i="116"/>
  <c r="P327"/>
  <c r="P302"/>
  <c r="E302"/>
  <c r="E277"/>
  <c r="P277"/>
  <c r="P252"/>
  <c r="E252"/>
  <c r="E227"/>
  <c r="P227"/>
  <c r="P202"/>
  <c r="E202"/>
  <c r="P177"/>
  <c r="E177"/>
  <c r="E152"/>
  <c r="P152"/>
  <c r="P127"/>
  <c r="E127"/>
  <c r="E102"/>
  <c r="P102"/>
  <c r="P77"/>
  <c r="E77"/>
  <c r="E52"/>
  <c r="P52"/>
  <c r="P27"/>
  <c r="C335"/>
  <c r="C327"/>
  <c r="C310" s="1"/>
  <c r="C316" s="1"/>
  <c r="C302"/>
  <c r="C285" s="1"/>
  <c r="C291" s="1"/>
  <c r="C277"/>
  <c r="C260" s="1"/>
  <c r="C266" s="1"/>
  <c r="C248"/>
  <c r="C252" s="1"/>
  <c r="C235" s="1"/>
  <c r="C241" s="1"/>
  <c r="C227"/>
  <c r="C210" s="1"/>
  <c r="C216" s="1"/>
  <c r="C202"/>
  <c r="C185" s="1"/>
  <c r="C191" s="1"/>
  <c r="C177"/>
  <c r="C160" s="1"/>
  <c r="C166" s="1"/>
  <c r="C173"/>
  <c r="C152"/>
  <c r="C135" s="1"/>
  <c r="C141" s="1"/>
  <c r="C127"/>
  <c r="C110" s="1"/>
  <c r="C116" s="1"/>
  <c r="C102"/>
  <c r="C85" s="1"/>
  <c r="C91" s="1"/>
  <c r="C77"/>
  <c r="C60" s="1"/>
  <c r="C66" s="1"/>
  <c r="C52"/>
  <c r="C35" s="1"/>
  <c r="C41" s="1"/>
  <c r="C27"/>
  <c r="C10" s="1"/>
  <c r="C16" s="1"/>
  <c r="D335"/>
  <c r="D327"/>
  <c r="D310" s="1"/>
  <c r="D316" s="1"/>
  <c r="D302"/>
  <c r="D285" s="1"/>
  <c r="D291" s="1"/>
  <c r="D277"/>
  <c r="D260" s="1"/>
  <c r="D266" s="1"/>
  <c r="D252"/>
  <c r="D235" s="1"/>
  <c r="D241" s="1"/>
  <c r="D227"/>
  <c r="D210" s="1"/>
  <c r="D216" s="1"/>
  <c r="D202"/>
  <c r="D185" s="1"/>
  <c r="D191" s="1"/>
  <c r="D177"/>
  <c r="D160" s="1"/>
  <c r="D166" s="1"/>
  <c r="D152"/>
  <c r="D135" s="1"/>
  <c r="D141" s="1"/>
  <c r="D127"/>
  <c r="D110" s="1"/>
  <c r="D116" s="1"/>
  <c r="D102"/>
  <c r="D85" s="1"/>
  <c r="D91" s="1"/>
  <c r="D77"/>
  <c r="D60" s="1"/>
  <c r="D66" s="1"/>
  <c r="D52"/>
  <c r="D27"/>
  <c r="D10" s="1"/>
  <c r="D16" s="1"/>
  <c r="E335"/>
  <c r="E27"/>
  <c r="N327"/>
  <c r="N310" s="1"/>
  <c r="N316" s="1"/>
  <c r="N302"/>
  <c r="N285" s="1"/>
  <c r="N291" s="1"/>
  <c r="N277"/>
  <c r="N260" s="1"/>
  <c r="N266" s="1"/>
  <c r="N252"/>
  <c r="N235" s="1"/>
  <c r="N241" s="1"/>
  <c r="N227"/>
  <c r="N210" s="1"/>
  <c r="N216" s="1"/>
  <c r="N202"/>
  <c r="N185" s="1"/>
  <c r="N191" s="1"/>
  <c r="N177"/>
  <c r="N160" s="1"/>
  <c r="N166" s="1"/>
  <c r="N152"/>
  <c r="N135" s="1"/>
  <c r="N141" s="1"/>
  <c r="N127"/>
  <c r="N110" s="1"/>
  <c r="N116" s="1"/>
  <c r="N102"/>
  <c r="N85" s="1"/>
  <c r="N91" s="1"/>
  <c r="N77"/>
  <c r="N60" s="1"/>
  <c r="N66" s="1"/>
  <c r="N52"/>
  <c r="N35" s="1"/>
  <c r="N41" s="1"/>
  <c r="N27"/>
  <c r="N10" s="1"/>
  <c r="N16" s="1"/>
  <c r="O327"/>
  <c r="O310" s="1"/>
  <c r="O316" s="1"/>
  <c r="O302"/>
  <c r="O285" s="1"/>
  <c r="O291" s="1"/>
  <c r="O277"/>
  <c r="O260" s="1"/>
  <c r="O266" s="1"/>
  <c r="O252"/>
  <c r="O235" s="1"/>
  <c r="O241" s="1"/>
  <c r="O227"/>
  <c r="O210" s="1"/>
  <c r="O216" s="1"/>
  <c r="O202"/>
  <c r="O185" s="1"/>
  <c r="O191" s="1"/>
  <c r="O177"/>
  <c r="O160" s="1"/>
  <c r="O166" s="1"/>
  <c r="O152"/>
  <c r="O135" s="1"/>
  <c r="O141" s="1"/>
  <c r="O127"/>
  <c r="O110" s="1"/>
  <c r="O116" s="1"/>
  <c r="O102"/>
  <c r="O85" s="1"/>
  <c r="O91" s="1"/>
  <c r="O77"/>
  <c r="O60" s="1"/>
  <c r="O66" s="1"/>
  <c r="O52"/>
  <c r="O35" s="1"/>
  <c r="O41" s="1"/>
  <c r="O27"/>
  <c r="O10" s="1"/>
  <c r="O16" s="1"/>
  <c r="B78" i="70"/>
  <c r="B82" s="1"/>
  <c r="B84" s="1"/>
  <c r="B67"/>
  <c r="B65"/>
  <c r="B62"/>
  <c r="B58"/>
  <c r="B56"/>
  <c r="B54"/>
  <c r="B50"/>
  <c r="B48"/>
  <c r="B44"/>
  <c r="B40"/>
  <c r="B38"/>
  <c r="B35"/>
  <c r="B31"/>
  <c r="B19"/>
  <c r="C78"/>
  <c r="C82" s="1"/>
  <c r="C67"/>
  <c r="C65"/>
  <c r="C62"/>
  <c r="C58"/>
  <c r="C56"/>
  <c r="C54"/>
  <c r="C50"/>
  <c r="C48"/>
  <c r="C44"/>
  <c r="C40"/>
  <c r="C38"/>
  <c r="C35"/>
  <c r="C31"/>
  <c r="C19"/>
  <c r="H78"/>
  <c r="H67"/>
  <c r="I67" s="1"/>
  <c r="H65"/>
  <c r="H62"/>
  <c r="I62" s="1"/>
  <c r="H58"/>
  <c r="I58" s="1"/>
  <c r="H56"/>
  <c r="I56" s="1"/>
  <c r="H54"/>
  <c r="I54" s="1"/>
  <c r="H50"/>
  <c r="I50" s="1"/>
  <c r="H48"/>
  <c r="I48" s="1"/>
  <c r="H44"/>
  <c r="I44" s="1"/>
  <c r="H40"/>
  <c r="H38"/>
  <c r="I38" s="1"/>
  <c r="H35"/>
  <c r="I35" s="1"/>
  <c r="H31"/>
  <c r="I31" s="1"/>
  <c r="H19"/>
  <c r="I19" s="1"/>
  <c r="M25" i="69"/>
  <c r="L25"/>
  <c r="K25"/>
  <c r="E26"/>
  <c r="D26"/>
  <c r="C26"/>
  <c r="M25" i="68"/>
  <c r="L25"/>
  <c r="K25"/>
  <c r="E26"/>
  <c r="D26"/>
  <c r="C26"/>
  <c r="E241" i="61"/>
  <c r="D241"/>
  <c r="F241" i="76" s="1"/>
  <c r="C241" i="61"/>
  <c r="E241" i="76" s="1"/>
  <c r="E240" i="61"/>
  <c r="G240" i="76" s="1"/>
  <c r="D240" i="61"/>
  <c r="C240"/>
  <c r="E240" i="76" s="1"/>
  <c r="E239" i="61"/>
  <c r="D239"/>
  <c r="L71" i="70" s="1"/>
  <c r="C239" i="61"/>
  <c r="E206"/>
  <c r="G206" i="76" s="1"/>
  <c r="D206" i="61"/>
  <c r="F206" i="76" s="1"/>
  <c r="C206" i="61"/>
  <c r="E206" i="76" s="1"/>
  <c r="E205" i="61"/>
  <c r="G205" i="76" s="1"/>
  <c r="D205" i="61"/>
  <c r="F205" i="76" s="1"/>
  <c r="C205" i="61"/>
  <c r="E205" i="76" s="1"/>
  <c r="E204" i="61"/>
  <c r="G204" i="76" s="1"/>
  <c r="D204" i="61"/>
  <c r="F204" i="76" s="1"/>
  <c r="C204" i="61"/>
  <c r="E204" i="76" s="1"/>
  <c r="E203" i="61"/>
  <c r="G203" i="76" s="1"/>
  <c r="D203" i="61"/>
  <c r="F203" i="76" s="1"/>
  <c r="C203" i="61"/>
  <c r="E203" i="76" s="1"/>
  <c r="E202" i="61"/>
  <c r="G202" i="76" s="1"/>
  <c r="D202" i="61"/>
  <c r="F202" i="76" s="1"/>
  <c r="C202" i="61"/>
  <c r="E202" i="76" s="1"/>
  <c r="E201" i="61"/>
  <c r="G201" i="76" s="1"/>
  <c r="D201" i="61"/>
  <c r="F201" i="76" s="1"/>
  <c r="C201" i="61"/>
  <c r="E201" i="76" s="1"/>
  <c r="E200" i="61"/>
  <c r="G200" i="76" s="1"/>
  <c r="G233" s="1"/>
  <c r="D200" i="61"/>
  <c r="F200" i="76" s="1"/>
  <c r="F233" s="1"/>
  <c r="C200" i="61"/>
  <c r="E200" i="76" s="1"/>
  <c r="E233" s="1"/>
  <c r="E198" i="61"/>
  <c r="G198" i="76" s="1"/>
  <c r="D198" i="61"/>
  <c r="F198" i="76" s="1"/>
  <c r="C198" i="61"/>
  <c r="E198" i="76" s="1"/>
  <c r="E197" i="61"/>
  <c r="G197" i="76" s="1"/>
  <c r="D197" i="61"/>
  <c r="F197" i="76" s="1"/>
  <c r="C197" i="61"/>
  <c r="E197" i="76" s="1"/>
  <c r="E196" i="61"/>
  <c r="G196" i="76" s="1"/>
  <c r="D196" i="61"/>
  <c r="F196" i="76" s="1"/>
  <c r="C196" i="61"/>
  <c r="E196" i="76" s="1"/>
  <c r="E195" i="61"/>
  <c r="G195" i="76" s="1"/>
  <c r="D195" i="61"/>
  <c r="F195" i="76" s="1"/>
  <c r="C195" i="61"/>
  <c r="E195" i="76" s="1"/>
  <c r="E191" i="61"/>
  <c r="G191" i="76" s="1"/>
  <c r="D191" i="61"/>
  <c r="F191" i="76" s="1"/>
  <c r="C191" i="61"/>
  <c r="E191" i="76" s="1"/>
  <c r="E190" i="61"/>
  <c r="G190" i="76" s="1"/>
  <c r="D190" i="61"/>
  <c r="F190" i="76" s="1"/>
  <c r="C190" i="61"/>
  <c r="E190" i="76" s="1"/>
  <c r="E189" i="61"/>
  <c r="G189" i="76" s="1"/>
  <c r="D189" i="61"/>
  <c r="F189" i="76" s="1"/>
  <c r="C189" i="61"/>
  <c r="E189" i="76" s="1"/>
  <c r="E188" i="61"/>
  <c r="G188" i="76" s="1"/>
  <c r="D188" i="61"/>
  <c r="F188" i="76" s="1"/>
  <c r="C188" i="61"/>
  <c r="E188" i="76" s="1"/>
  <c r="E187" i="61"/>
  <c r="G187" i="76" s="1"/>
  <c r="D187" i="61"/>
  <c r="F187" i="76" s="1"/>
  <c r="C187" i="61"/>
  <c r="E187" i="76" s="1"/>
  <c r="E186" i="61"/>
  <c r="G186" i="76" s="1"/>
  <c r="D186" i="61"/>
  <c r="F186" i="76" s="1"/>
  <c r="C186" i="61"/>
  <c r="E186" i="76" s="1"/>
  <c r="E185" i="61"/>
  <c r="G185" i="76" s="1"/>
  <c r="G226" s="1"/>
  <c r="D185" i="61"/>
  <c r="F185" i="76" s="1"/>
  <c r="F226" s="1"/>
  <c r="C185" i="61"/>
  <c r="E185" i="76" s="1"/>
  <c r="E226" s="1"/>
  <c r="E183" i="61"/>
  <c r="D183"/>
  <c r="F183" i="76" s="1"/>
  <c r="C183" i="61"/>
  <c r="E183" i="76" s="1"/>
  <c r="E182" i="61"/>
  <c r="G182" i="76" s="1"/>
  <c r="D182" i="61"/>
  <c r="F182" i="76" s="1"/>
  <c r="C182" i="61"/>
  <c r="E182" i="76" s="1"/>
  <c r="E181" i="61"/>
  <c r="G181" i="76" s="1"/>
  <c r="D181" i="61"/>
  <c r="F181" i="76" s="1"/>
  <c r="C181" i="61"/>
  <c r="E181" i="76" s="1"/>
  <c r="E180" i="61"/>
  <c r="D180"/>
  <c r="C180"/>
  <c r="E180" i="76" s="1"/>
  <c r="E175" i="61"/>
  <c r="D175"/>
  <c r="C175"/>
  <c r="E175" i="76" s="1"/>
  <c r="E174" i="61"/>
  <c r="G174" i="76" s="1"/>
  <c r="D174" i="61"/>
  <c r="F174" i="76" s="1"/>
  <c r="C174" i="61"/>
  <c r="E174" i="76" s="1"/>
  <c r="E173" i="61"/>
  <c r="G173" i="76" s="1"/>
  <c r="D173" i="61"/>
  <c r="F173" i="76" s="1"/>
  <c r="C173" i="61"/>
  <c r="E173" i="76" s="1"/>
  <c r="E172" i="61"/>
  <c r="G172" i="76" s="1"/>
  <c r="D172" i="61"/>
  <c r="F172" i="76" s="1"/>
  <c r="C172" i="61"/>
  <c r="E172" i="76" s="1"/>
  <c r="E171" i="61"/>
  <c r="G171" i="76" s="1"/>
  <c r="D171" i="61"/>
  <c r="F171" i="76" s="1"/>
  <c r="C171" i="61"/>
  <c r="E171" i="76" s="1"/>
  <c r="E170" i="61"/>
  <c r="G170" i="76" s="1"/>
  <c r="D170" i="61"/>
  <c r="F170" i="76" s="1"/>
  <c r="C170" i="61"/>
  <c r="E170" i="76" s="1"/>
  <c r="E169" i="61"/>
  <c r="G169" i="76" s="1"/>
  <c r="D169" i="61"/>
  <c r="F169" i="76" s="1"/>
  <c r="C169" i="61"/>
  <c r="E169" i="76" s="1"/>
  <c r="E168" i="61"/>
  <c r="G168" i="76" s="1"/>
  <c r="D168" i="61"/>
  <c r="F168" i="76" s="1"/>
  <c r="C168" i="61"/>
  <c r="E168" i="76" s="1"/>
  <c r="E167" i="61"/>
  <c r="G167" i="76" s="1"/>
  <c r="D167" i="61"/>
  <c r="F167" i="76" s="1"/>
  <c r="C167" i="61"/>
  <c r="E167" i="76" s="1"/>
  <c r="E166" i="61"/>
  <c r="G166" i="76" s="1"/>
  <c r="D166" i="61"/>
  <c r="F166" i="76" s="1"/>
  <c r="C166" i="61"/>
  <c r="E166" i="76" s="1"/>
  <c r="E165" s="1"/>
  <c r="E164" i="61"/>
  <c r="D164"/>
  <c r="C164"/>
  <c r="E164" i="76" s="1"/>
  <c r="E163" i="61"/>
  <c r="G163" i="76" s="1"/>
  <c r="D163" i="61"/>
  <c r="F163" i="76" s="1"/>
  <c r="C163" i="61"/>
  <c r="E163" i="76" s="1"/>
  <c r="E162" i="61"/>
  <c r="G162" i="76" s="1"/>
  <c r="D162" i="61"/>
  <c r="C162"/>
  <c r="E162" i="76" s="1"/>
  <c r="E161" i="61"/>
  <c r="D161"/>
  <c r="C161"/>
  <c r="E161" i="76" s="1"/>
  <c r="E160" i="61"/>
  <c r="D160"/>
  <c r="C160"/>
  <c r="E160" i="76" s="1"/>
  <c r="E158" i="61"/>
  <c r="G202" i="119" s="1"/>
  <c r="H202" s="1"/>
  <c r="D158" i="61"/>
  <c r="C158"/>
  <c r="E158" i="76" s="1"/>
  <c r="E157" i="61"/>
  <c r="G157" i="76" s="1"/>
  <c r="D157" i="61"/>
  <c r="F157" i="76" s="1"/>
  <c r="C157" i="61"/>
  <c r="E157" i="76" s="1"/>
  <c r="E156" i="61"/>
  <c r="G156" i="76" s="1"/>
  <c r="D156" i="61"/>
  <c r="C156"/>
  <c r="E156" i="76" s="1"/>
  <c r="E155" i="61"/>
  <c r="G199" i="119" s="1"/>
  <c r="H199" s="1"/>
  <c r="D155" i="61"/>
  <c r="C155"/>
  <c r="E155" i="76" s="1"/>
  <c r="E154" i="61"/>
  <c r="G198" i="119" s="1"/>
  <c r="H198" s="1"/>
  <c r="D154" i="61"/>
  <c r="C154"/>
  <c r="E154" i="76" s="1"/>
  <c r="E153" i="61"/>
  <c r="G196" i="119" s="1"/>
  <c r="H196" s="1"/>
  <c r="D153" i="61"/>
  <c r="C153"/>
  <c r="E153" i="76" s="1"/>
  <c r="E152" i="61"/>
  <c r="D152"/>
  <c r="C152"/>
  <c r="E152" i="76" s="1"/>
  <c r="E151" i="61"/>
  <c r="D151"/>
  <c r="C151"/>
  <c r="E151" i="76" s="1"/>
  <c r="E148" i="61"/>
  <c r="D148"/>
  <c r="F148" i="76" s="1"/>
  <c r="C148" i="61"/>
  <c r="E148" i="76" s="1"/>
  <c r="E147" i="61"/>
  <c r="D147"/>
  <c r="F147" i="76" s="1"/>
  <c r="C147" i="61"/>
  <c r="E147" i="76" s="1"/>
  <c r="C146" i="61"/>
  <c r="E145"/>
  <c r="D145"/>
  <c r="C145"/>
  <c r="E145" i="76" s="1"/>
  <c r="E144" i="61"/>
  <c r="G144" i="76" s="1"/>
  <c r="D144" i="61"/>
  <c r="F144" i="76" s="1"/>
  <c r="C144" i="61"/>
  <c r="E144" i="76" s="1"/>
  <c r="E143" i="61"/>
  <c r="G143" i="76" s="1"/>
  <c r="D143" i="61"/>
  <c r="F143" i="76" s="1"/>
  <c r="C143" i="61"/>
  <c r="E143" i="76" s="1"/>
  <c r="E142" i="61"/>
  <c r="G142" i="76" s="1"/>
  <c r="D142" i="61"/>
  <c r="F142" i="76" s="1"/>
  <c r="C142" i="61"/>
  <c r="E142" i="76" s="1"/>
  <c r="E141" i="61"/>
  <c r="D141"/>
  <c r="C141"/>
  <c r="E141" i="76" s="1"/>
  <c r="E140" i="61"/>
  <c r="G140" i="76" s="1"/>
  <c r="D140" i="61"/>
  <c r="F140" i="76" s="1"/>
  <c r="C140" i="61"/>
  <c r="E140" i="76" s="1"/>
  <c r="E139" i="61"/>
  <c r="D139"/>
  <c r="C139"/>
  <c r="E139" i="76" s="1"/>
  <c r="E138" i="61"/>
  <c r="D138"/>
  <c r="C138"/>
  <c r="E138" i="76" s="1"/>
  <c r="E137" i="61"/>
  <c r="G137" i="76" s="1"/>
  <c r="D137" i="61"/>
  <c r="F137" i="76" s="1"/>
  <c r="C137" i="61"/>
  <c r="E137" i="76" s="1"/>
  <c r="E136" i="61"/>
  <c r="G136" i="76" s="1"/>
  <c r="D136" i="61"/>
  <c r="C136"/>
  <c r="E136" i="76" s="1"/>
  <c r="E135" i="61"/>
  <c r="G135" i="76" s="1"/>
  <c r="D135" i="61"/>
  <c r="C135"/>
  <c r="E135" i="76" s="1"/>
  <c r="E134" i="61"/>
  <c r="G130" i="119" s="1"/>
  <c r="H130" s="1"/>
  <c r="D134" i="61"/>
  <c r="F134" i="76" s="1"/>
  <c r="C134" i="61"/>
  <c r="E134" i="76" s="1"/>
  <c r="E133" i="61"/>
  <c r="G133" i="76" s="1"/>
  <c r="D133" i="61"/>
  <c r="F133" i="76" s="1"/>
  <c r="C133" i="61"/>
  <c r="E133" i="76" s="1"/>
  <c r="E131" i="61"/>
  <c r="D131"/>
  <c r="C131"/>
  <c r="E131" i="76" s="1"/>
  <c r="E130" i="61"/>
  <c r="D130"/>
  <c r="C130"/>
  <c r="E130" i="76" s="1"/>
  <c r="E129" i="61"/>
  <c r="G129" i="76" s="1"/>
  <c r="D129" i="61"/>
  <c r="C129"/>
  <c r="E129" i="76" s="1"/>
  <c r="E128" i="61"/>
  <c r="G128" i="76" s="1"/>
  <c r="D128" i="61"/>
  <c r="F128" i="76" s="1"/>
  <c r="C128" i="61"/>
  <c r="E128" i="76" s="1"/>
  <c r="E127" i="61"/>
  <c r="G127" i="76" s="1"/>
  <c r="D127" i="61"/>
  <c r="C127"/>
  <c r="E127" i="76" s="1"/>
  <c r="E126" i="61"/>
  <c r="G126" i="76" s="1"/>
  <c r="D126" i="61"/>
  <c r="F126" i="76" s="1"/>
  <c r="C126" i="61"/>
  <c r="E126" i="76" s="1"/>
  <c r="E125" i="61"/>
  <c r="G125" i="76" s="1"/>
  <c r="D125" i="61"/>
  <c r="F125" i="76" s="1"/>
  <c r="C125" i="61"/>
  <c r="E125" i="76" s="1"/>
  <c r="E124" i="61"/>
  <c r="G124" i="76" s="1"/>
  <c r="D124" i="61"/>
  <c r="F124" i="76" s="1"/>
  <c r="C124" i="61"/>
  <c r="E124" i="76" s="1"/>
  <c r="E122" i="61"/>
  <c r="G64" i="119" s="1"/>
  <c r="H64" s="1"/>
  <c r="D122" i="61"/>
  <c r="C122"/>
  <c r="E122" i="76" s="1"/>
  <c r="E121" i="61"/>
  <c r="G53" i="119" s="1"/>
  <c r="H53" s="1"/>
  <c r="D121" i="61"/>
  <c r="C121"/>
  <c r="E121" i="76" s="1"/>
  <c r="E120" i="61"/>
  <c r="G50" i="119" s="1"/>
  <c r="H50" s="1"/>
  <c r="D120" i="61"/>
  <c r="C120"/>
  <c r="E120" i="76" s="1"/>
  <c r="E119" i="61"/>
  <c r="G39" i="119" s="1"/>
  <c r="H39" s="1"/>
  <c r="D119" i="61"/>
  <c r="C119"/>
  <c r="E119" i="76" s="1"/>
  <c r="E118" i="61"/>
  <c r="G36" i="119" s="1"/>
  <c r="H36" s="1"/>
  <c r="D118" i="61"/>
  <c r="C118"/>
  <c r="E118" i="76" s="1"/>
  <c r="E117" i="61"/>
  <c r="D117"/>
  <c r="C117"/>
  <c r="E117" i="76" s="1"/>
  <c r="E115" i="61"/>
  <c r="D115"/>
  <c r="C115"/>
  <c r="E115" i="76" s="1"/>
  <c r="E114" i="61"/>
  <c r="D114"/>
  <c r="F114" s="1"/>
  <c r="V326" i="84" s="1"/>
  <c r="V327" s="1"/>
  <c r="C114" i="61"/>
  <c r="E113"/>
  <c r="G24" i="119" s="1"/>
  <c r="H24" s="1"/>
  <c r="D113" i="61"/>
  <c r="C113"/>
  <c r="E113" i="76" s="1"/>
  <c r="E112" i="61"/>
  <c r="G20" i="119" s="1"/>
  <c r="H20" s="1"/>
  <c r="D112" i="61"/>
  <c r="C112"/>
  <c r="E112" i="76" s="1"/>
  <c r="E110" s="1"/>
  <c r="E111" i="61"/>
  <c r="D111"/>
  <c r="C111"/>
  <c r="E111" i="76" s="1"/>
  <c r="E100" i="61"/>
  <c r="G100" i="76" s="1"/>
  <c r="D100" i="61"/>
  <c r="F100" i="76" s="1"/>
  <c r="C100" i="61"/>
  <c r="E100" i="76" s="1"/>
  <c r="E99" i="61"/>
  <c r="G99" i="76" s="1"/>
  <c r="D99" i="61"/>
  <c r="F99" i="76" s="1"/>
  <c r="C99" i="61"/>
  <c r="E99" i="76" s="1"/>
  <c r="E98" i="61"/>
  <c r="G98" i="76" s="1"/>
  <c r="D98" i="61"/>
  <c r="F98" i="76" s="1"/>
  <c r="C98" i="61"/>
  <c r="E98" i="76" s="1"/>
  <c r="E97" i="61"/>
  <c r="G97" i="76" s="1"/>
  <c r="D97" i="61"/>
  <c r="F97" i="76" s="1"/>
  <c r="C97" i="61"/>
  <c r="E97" i="76" s="1"/>
  <c r="E96" i="61"/>
  <c r="G96" i="76" s="1"/>
  <c r="D96" i="61"/>
  <c r="F96" i="76" s="1"/>
  <c r="C96" i="61"/>
  <c r="E96" i="76" s="1"/>
  <c r="E95" i="61"/>
  <c r="G95" i="76" s="1"/>
  <c r="D95" i="61"/>
  <c r="F95" i="76" s="1"/>
  <c r="C95" i="61"/>
  <c r="E95" i="76" s="1"/>
  <c r="E93" i="61"/>
  <c r="G93" i="76" s="1"/>
  <c r="D93" i="61"/>
  <c r="F93" i="76" s="1"/>
  <c r="C93" i="61"/>
  <c r="E93" i="76" s="1"/>
  <c r="E92" i="61"/>
  <c r="D92"/>
  <c r="F92" i="76" s="1"/>
  <c r="C92" i="61"/>
  <c r="E92" i="76" s="1"/>
  <c r="E91" i="61"/>
  <c r="D91"/>
  <c r="C91"/>
  <c r="E91" i="76" s="1"/>
  <c r="E230" s="1"/>
  <c r="E90" i="61"/>
  <c r="G90" i="76" s="1"/>
  <c r="D90" i="61"/>
  <c r="F90" i="76" s="1"/>
  <c r="C90" i="61"/>
  <c r="E90" i="76" s="1"/>
  <c r="E89" i="61"/>
  <c r="G89" i="76" s="1"/>
  <c r="D89" i="61"/>
  <c r="C89"/>
  <c r="E89" i="76" s="1"/>
  <c r="E85" i="61"/>
  <c r="G85" i="76" s="1"/>
  <c r="D85" i="61"/>
  <c r="F85" i="76" s="1"/>
  <c r="C85" i="61"/>
  <c r="E85" i="76" s="1"/>
  <c r="E84" i="61"/>
  <c r="G84" i="76" s="1"/>
  <c r="D84" i="61"/>
  <c r="F84" i="76" s="1"/>
  <c r="C84" i="61"/>
  <c r="E84" i="76" s="1"/>
  <c r="E83" i="61"/>
  <c r="G83" i="76" s="1"/>
  <c r="D83" i="61"/>
  <c r="F83" i="76" s="1"/>
  <c r="C83" i="61"/>
  <c r="E83" i="76" s="1"/>
  <c r="E82" i="61"/>
  <c r="G82" i="76" s="1"/>
  <c r="D82" i="61"/>
  <c r="F82" i="76" s="1"/>
  <c r="C82" i="61"/>
  <c r="E82" i="76" s="1"/>
  <c r="E81" i="61"/>
  <c r="G81" i="76" s="1"/>
  <c r="D81" i="61"/>
  <c r="F81" i="76" s="1"/>
  <c r="C81" i="61"/>
  <c r="E81" i="76" s="1"/>
  <c r="E80" i="61"/>
  <c r="G80" i="76" s="1"/>
  <c r="D80" i="61"/>
  <c r="F80" i="76" s="1"/>
  <c r="C80" i="61"/>
  <c r="E80" i="76" s="1"/>
  <c r="E78" i="61"/>
  <c r="D78"/>
  <c r="C78"/>
  <c r="E78" i="76" s="1"/>
  <c r="G77"/>
  <c r="H77" s="1"/>
  <c r="F77"/>
  <c r="C77" i="61"/>
  <c r="E77" i="76" s="1"/>
  <c r="E76" i="61"/>
  <c r="D76"/>
  <c r="F76" i="76" s="1"/>
  <c r="C76" i="61"/>
  <c r="E76" i="76" s="1"/>
  <c r="E223" s="1"/>
  <c r="E75" i="61"/>
  <c r="G75" i="76" s="1"/>
  <c r="D75" i="61"/>
  <c r="F75" i="76" s="1"/>
  <c r="C75" i="61"/>
  <c r="E75" i="76" s="1"/>
  <c r="E74" i="61"/>
  <c r="D74"/>
  <c r="C74"/>
  <c r="E74" i="76" s="1"/>
  <c r="E69" i="61"/>
  <c r="G69" i="76" s="1"/>
  <c r="D69" i="61"/>
  <c r="C69"/>
  <c r="E69" i="76" s="1"/>
  <c r="E68" i="61"/>
  <c r="D68"/>
  <c r="C68"/>
  <c r="E68" i="76" s="1"/>
  <c r="E67" i="61"/>
  <c r="G67" i="76" s="1"/>
  <c r="D67" i="61"/>
  <c r="F67" i="76" s="1"/>
  <c r="C67" i="61"/>
  <c r="E67" i="76" s="1"/>
  <c r="E66" i="61"/>
  <c r="G66" i="76" s="1"/>
  <c r="D66" i="61"/>
  <c r="F66" i="76" s="1"/>
  <c r="C66" i="61"/>
  <c r="E66" i="76" s="1"/>
  <c r="E65" i="61"/>
  <c r="G65" i="76" s="1"/>
  <c r="D65" i="61"/>
  <c r="F65" i="76" s="1"/>
  <c r="C65" i="61"/>
  <c r="E65" i="76" s="1"/>
  <c r="E63" i="61"/>
  <c r="G63" i="76" s="1"/>
  <c r="D63" i="61"/>
  <c r="F63" i="76" s="1"/>
  <c r="C63" i="61"/>
  <c r="E63" i="76" s="1"/>
  <c r="E62" i="61"/>
  <c r="G62" i="76" s="1"/>
  <c r="D62" i="61"/>
  <c r="F62" i="76" s="1"/>
  <c r="C62" i="61"/>
  <c r="E62" i="76" s="1"/>
  <c r="E61" i="61"/>
  <c r="D61"/>
  <c r="C61"/>
  <c r="E61" i="76" s="1"/>
  <c r="E60" i="61"/>
  <c r="D60"/>
  <c r="C60"/>
  <c r="E60" i="76" s="1"/>
  <c r="E59" i="61"/>
  <c r="G59" i="76" s="1"/>
  <c r="D59" i="61"/>
  <c r="F59" i="76" s="1"/>
  <c r="C59" i="61"/>
  <c r="E59" i="76" s="1"/>
  <c r="E58" s="1"/>
  <c r="E57" i="61"/>
  <c r="D57"/>
  <c r="C57"/>
  <c r="E57" i="76" s="1"/>
  <c r="E56" i="61"/>
  <c r="D56"/>
  <c r="C56"/>
  <c r="E56" i="76" s="1"/>
  <c r="E55" i="61"/>
  <c r="G55" i="76" s="1"/>
  <c r="D55" i="61"/>
  <c r="F55" i="76" s="1"/>
  <c r="C55" i="61"/>
  <c r="E55" i="76" s="1"/>
  <c r="E54" i="61"/>
  <c r="G54" i="76" s="1"/>
  <c r="D54" i="61"/>
  <c r="F54" i="76" s="1"/>
  <c r="C54" i="61"/>
  <c r="E54" i="76" s="1"/>
  <c r="E53" i="61"/>
  <c r="G53" i="76" s="1"/>
  <c r="D53" i="61"/>
  <c r="F53" i="76" s="1"/>
  <c r="C53" i="61"/>
  <c r="E53" i="76" s="1"/>
  <c r="E52" i="61"/>
  <c r="D52"/>
  <c r="C52"/>
  <c r="E52" i="76" s="1"/>
  <c r="E49" i="61"/>
  <c r="D49"/>
  <c r="C49"/>
  <c r="E49" i="76" s="1"/>
  <c r="E48" i="61"/>
  <c r="D48"/>
  <c r="C48"/>
  <c r="E48" i="76" s="1"/>
  <c r="E47" i="61"/>
  <c r="G47" i="76" s="1"/>
  <c r="D47" i="61"/>
  <c r="F47" i="76" s="1"/>
  <c r="C47" i="61"/>
  <c r="E47" i="76" s="1"/>
  <c r="E46" i="61"/>
  <c r="G46" i="76" s="1"/>
  <c r="D46" i="61"/>
  <c r="F46" i="76" s="1"/>
  <c r="C46" i="61"/>
  <c r="E46" i="76" s="1"/>
  <c r="E45" i="61"/>
  <c r="G45" i="76" s="1"/>
  <c r="D45" i="61"/>
  <c r="F45" i="76" s="1"/>
  <c r="C45" i="61"/>
  <c r="E45" i="76" s="1"/>
  <c r="E43" i="61"/>
  <c r="D43"/>
  <c r="C43"/>
  <c r="E43" i="76" s="1"/>
  <c r="E42" i="61"/>
  <c r="D42"/>
  <c r="C42"/>
  <c r="E42" i="76" s="1"/>
  <c r="E41" i="61"/>
  <c r="G41" i="76" s="1"/>
  <c r="D41" i="61"/>
  <c r="F41" i="76" s="1"/>
  <c r="C41" i="61"/>
  <c r="E41" i="76" s="1"/>
  <c r="E40" i="61"/>
  <c r="G40" i="76" s="1"/>
  <c r="D40" i="61"/>
  <c r="F40" i="76" s="1"/>
  <c r="C40" i="61"/>
  <c r="E40" i="76" s="1"/>
  <c r="E39" i="61"/>
  <c r="D39"/>
  <c r="C39"/>
  <c r="E39" i="76" s="1"/>
  <c r="E38" i="61"/>
  <c r="D38"/>
  <c r="C38"/>
  <c r="E38" i="76" s="1"/>
  <c r="E37" i="61"/>
  <c r="D37"/>
  <c r="C37"/>
  <c r="E37" i="76" s="1"/>
  <c r="E36" i="61"/>
  <c r="D36"/>
  <c r="C36"/>
  <c r="E36" i="76" s="1"/>
  <c r="E35" i="61"/>
  <c r="D35"/>
  <c r="C35"/>
  <c r="E35" i="76" s="1"/>
  <c r="E34" i="61"/>
  <c r="D34"/>
  <c r="C34"/>
  <c r="E34" i="76" s="1"/>
  <c r="E33" i="61"/>
  <c r="D33"/>
  <c r="C33"/>
  <c r="E33" i="76" s="1"/>
  <c r="E31" i="61"/>
  <c r="D31"/>
  <c r="C31"/>
  <c r="E31" i="76" s="1"/>
  <c r="E30" i="61"/>
  <c r="D30"/>
  <c r="C30"/>
  <c r="E30" i="76" s="1"/>
  <c r="E29" i="61"/>
  <c r="D29"/>
  <c r="F29" i="76" s="1"/>
  <c r="C29" i="61"/>
  <c r="E29" i="76" s="1"/>
  <c r="E28" i="61"/>
  <c r="G28" i="76" s="1"/>
  <c r="D28" i="61"/>
  <c r="F28" i="76" s="1"/>
  <c r="C28" i="61"/>
  <c r="E28" i="76" s="1"/>
  <c r="E27" i="61"/>
  <c r="G27" i="76" s="1"/>
  <c r="D27" i="61"/>
  <c r="F27" i="76" s="1"/>
  <c r="C27" i="61"/>
  <c r="E27" i="76" s="1"/>
  <c r="E26" i="61"/>
  <c r="D26"/>
  <c r="C26"/>
  <c r="E26" i="76" s="1"/>
  <c r="E25" s="1"/>
  <c r="C25" i="61"/>
  <c r="E24"/>
  <c r="D24"/>
  <c r="C24"/>
  <c r="E24" i="76" s="1"/>
  <c r="E23" i="61"/>
  <c r="D23"/>
  <c r="C23"/>
  <c r="E23" i="76" s="1"/>
  <c r="E22" i="61"/>
  <c r="G22" i="76" s="1"/>
  <c r="D22" i="61"/>
  <c r="F22" i="76" s="1"/>
  <c r="C22" i="61"/>
  <c r="E22" i="76" s="1"/>
  <c r="E21" i="61"/>
  <c r="G21" i="76" s="1"/>
  <c r="D21" i="61"/>
  <c r="F21" i="76" s="1"/>
  <c r="C21" i="61"/>
  <c r="E21" i="76" s="1"/>
  <c r="E20" i="61"/>
  <c r="G20" i="76" s="1"/>
  <c r="D20" i="61"/>
  <c r="F20" i="76" s="1"/>
  <c r="C20" i="61"/>
  <c r="E20" i="76" s="1"/>
  <c r="E19" i="61"/>
  <c r="D19"/>
  <c r="C19"/>
  <c r="E19" i="76" s="1"/>
  <c r="E18" i="61"/>
  <c r="G18" i="76" s="1"/>
  <c r="D18" i="61"/>
  <c r="F18" i="76" s="1"/>
  <c r="C18" i="61"/>
  <c r="E18" i="76" s="1"/>
  <c r="E17" i="61"/>
  <c r="D17"/>
  <c r="C17"/>
  <c r="E17" i="76" s="1"/>
  <c r="E16" i="61"/>
  <c r="D16"/>
  <c r="C16"/>
  <c r="E16" i="76" s="1"/>
  <c r="E15" i="61"/>
  <c r="D15"/>
  <c r="C15"/>
  <c r="E15" i="76" s="1"/>
  <c r="E14" i="61"/>
  <c r="D14"/>
  <c r="C14"/>
  <c r="E14" i="76" s="1"/>
  <c r="E13" i="61"/>
  <c r="D13"/>
  <c r="C13"/>
  <c r="E13" i="76" s="1"/>
  <c r="C199" i="64"/>
  <c r="C184"/>
  <c r="C242"/>
  <c r="D242"/>
  <c r="C150"/>
  <c r="D150"/>
  <c r="C146"/>
  <c r="D123"/>
  <c r="D116"/>
  <c r="D110"/>
  <c r="D58"/>
  <c r="D51"/>
  <c r="D44"/>
  <c r="D32"/>
  <c r="D25"/>
  <c r="E242"/>
  <c r="E233"/>
  <c r="E226"/>
  <c r="E165"/>
  <c r="E159"/>
  <c r="E150"/>
  <c r="E146"/>
  <c r="E123"/>
  <c r="E116"/>
  <c r="E110"/>
  <c r="E64"/>
  <c r="E58"/>
  <c r="E51"/>
  <c r="E44"/>
  <c r="E32"/>
  <c r="E25"/>
  <c r="E12"/>
  <c r="E242" i="65"/>
  <c r="D242"/>
  <c r="C242"/>
  <c r="E234"/>
  <c r="D234"/>
  <c r="C234"/>
  <c r="E233"/>
  <c r="D233"/>
  <c r="D232" s="1"/>
  <c r="C233"/>
  <c r="C232" s="1"/>
  <c r="E232"/>
  <c r="E230"/>
  <c r="D230"/>
  <c r="C230"/>
  <c r="E227"/>
  <c r="D227"/>
  <c r="D225" s="1"/>
  <c r="C227"/>
  <c r="C225" s="1"/>
  <c r="E226"/>
  <c r="D226"/>
  <c r="C226"/>
  <c r="E225"/>
  <c r="E223"/>
  <c r="D223"/>
  <c r="C223"/>
  <c r="E194"/>
  <c r="E193" s="1"/>
  <c r="E192" s="1"/>
  <c r="D194"/>
  <c r="D193" s="1"/>
  <c r="D192" s="1"/>
  <c r="C194"/>
  <c r="C193" s="1"/>
  <c r="C192" s="1"/>
  <c r="E179"/>
  <c r="E178" s="1"/>
  <c r="E177" s="1"/>
  <c r="E207" s="1"/>
  <c r="D179"/>
  <c r="C179"/>
  <c r="C178" s="1"/>
  <c r="C177" s="1"/>
  <c r="D178"/>
  <c r="D177" s="1"/>
  <c r="D207" s="1"/>
  <c r="E165"/>
  <c r="D165"/>
  <c r="C165"/>
  <c r="E159"/>
  <c r="D159"/>
  <c r="C159"/>
  <c r="E150"/>
  <c r="D150"/>
  <c r="C150"/>
  <c r="E146"/>
  <c r="E132" s="1"/>
  <c r="D146"/>
  <c r="C146"/>
  <c r="D132"/>
  <c r="C132"/>
  <c r="E123"/>
  <c r="D123"/>
  <c r="C123"/>
  <c r="E116"/>
  <c r="D116"/>
  <c r="C116"/>
  <c r="E110"/>
  <c r="D110"/>
  <c r="F110" s="1"/>
  <c r="C110"/>
  <c r="E64"/>
  <c r="D64"/>
  <c r="C64"/>
  <c r="E58"/>
  <c r="E50" s="1"/>
  <c r="D58"/>
  <c r="C58"/>
  <c r="E51"/>
  <c r="D51"/>
  <c r="C51"/>
  <c r="C50"/>
  <c r="E44"/>
  <c r="D44"/>
  <c r="C44"/>
  <c r="E32"/>
  <c r="D32"/>
  <c r="C32"/>
  <c r="E25"/>
  <c r="D25"/>
  <c r="F25" s="1"/>
  <c r="C25"/>
  <c r="E12"/>
  <c r="D12"/>
  <c r="C12"/>
  <c r="C11" s="1"/>
  <c r="E11"/>
  <c r="D11"/>
  <c r="F11" s="1"/>
  <c r="E242" i="66"/>
  <c r="D242"/>
  <c r="C242"/>
  <c r="E234"/>
  <c r="D234"/>
  <c r="C234"/>
  <c r="C232" s="1"/>
  <c r="E233"/>
  <c r="D233"/>
  <c r="C233"/>
  <c r="E232"/>
  <c r="D232"/>
  <c r="E230"/>
  <c r="D230"/>
  <c r="C230"/>
  <c r="E227"/>
  <c r="D227"/>
  <c r="C227"/>
  <c r="C225" s="1"/>
  <c r="E226"/>
  <c r="D226"/>
  <c r="C226"/>
  <c r="E225"/>
  <c r="D225"/>
  <c r="E223"/>
  <c r="D223"/>
  <c r="C223"/>
  <c r="E194"/>
  <c r="E193" s="1"/>
  <c r="E192" s="1"/>
  <c r="D194"/>
  <c r="C194"/>
  <c r="C193" s="1"/>
  <c r="C192" s="1"/>
  <c r="D193"/>
  <c r="D192" s="1"/>
  <c r="E179"/>
  <c r="D179"/>
  <c r="D178" s="1"/>
  <c r="D177" s="1"/>
  <c r="D207" s="1"/>
  <c r="C179"/>
  <c r="E178"/>
  <c r="E177" s="1"/>
  <c r="C178"/>
  <c r="C177" s="1"/>
  <c r="C207" s="1"/>
  <c r="E165"/>
  <c r="D165"/>
  <c r="C165"/>
  <c r="E159"/>
  <c r="D159"/>
  <c r="C159"/>
  <c r="E150"/>
  <c r="D150"/>
  <c r="C150"/>
  <c r="C149" s="1"/>
  <c r="E146"/>
  <c r="D146"/>
  <c r="C146"/>
  <c r="E132"/>
  <c r="D132"/>
  <c r="C132"/>
  <c r="E123"/>
  <c r="D123"/>
  <c r="C123"/>
  <c r="E116"/>
  <c r="D116"/>
  <c r="C116"/>
  <c r="E110"/>
  <c r="D110"/>
  <c r="C110"/>
  <c r="E64"/>
  <c r="D64"/>
  <c r="C64"/>
  <c r="E58"/>
  <c r="D58"/>
  <c r="C58"/>
  <c r="E51"/>
  <c r="E50" s="1"/>
  <c r="D51"/>
  <c r="C51"/>
  <c r="C50" s="1"/>
  <c r="D50"/>
  <c r="E44"/>
  <c r="D44"/>
  <c r="C44"/>
  <c r="E32"/>
  <c r="D32"/>
  <c r="C32"/>
  <c r="E25"/>
  <c r="D25"/>
  <c r="C25"/>
  <c r="E12"/>
  <c r="D12"/>
  <c r="D11" s="1"/>
  <c r="C12"/>
  <c r="E11"/>
  <c r="C11"/>
  <c r="E242" i="67"/>
  <c r="D242"/>
  <c r="C242"/>
  <c r="E234"/>
  <c r="E232" s="1"/>
  <c r="D234"/>
  <c r="C234"/>
  <c r="E233"/>
  <c r="D233"/>
  <c r="D232" s="1"/>
  <c r="C233"/>
  <c r="C232"/>
  <c r="E230"/>
  <c r="D230"/>
  <c r="C230"/>
  <c r="E227"/>
  <c r="E225" s="1"/>
  <c r="D227"/>
  <c r="D225" s="1"/>
  <c r="C227"/>
  <c r="E226"/>
  <c r="D226"/>
  <c r="C226"/>
  <c r="C225"/>
  <c r="E223"/>
  <c r="D223"/>
  <c r="C223"/>
  <c r="E194"/>
  <c r="E193" s="1"/>
  <c r="E192" s="1"/>
  <c r="D194"/>
  <c r="D193" s="1"/>
  <c r="D192" s="1"/>
  <c r="C194"/>
  <c r="C193" s="1"/>
  <c r="C192" s="1"/>
  <c r="E179"/>
  <c r="E178" s="1"/>
  <c r="E177" s="1"/>
  <c r="D179"/>
  <c r="C179"/>
  <c r="C178" s="1"/>
  <c r="C177" s="1"/>
  <c r="D178"/>
  <c r="D177" s="1"/>
  <c r="D207" s="1"/>
  <c r="E165"/>
  <c r="D165"/>
  <c r="C165"/>
  <c r="E159"/>
  <c r="D159"/>
  <c r="C159"/>
  <c r="E150"/>
  <c r="D150"/>
  <c r="C150"/>
  <c r="E149"/>
  <c r="E146"/>
  <c r="D146"/>
  <c r="C146"/>
  <c r="E132"/>
  <c r="D132"/>
  <c r="C132"/>
  <c r="E123"/>
  <c r="D123"/>
  <c r="C123"/>
  <c r="E116"/>
  <c r="D116"/>
  <c r="C116"/>
  <c r="E110"/>
  <c r="D110"/>
  <c r="C110"/>
  <c r="E64"/>
  <c r="D64"/>
  <c r="C64"/>
  <c r="E58"/>
  <c r="D58"/>
  <c r="C58"/>
  <c r="E51"/>
  <c r="D51"/>
  <c r="D50" s="1"/>
  <c r="C51"/>
  <c r="C50" s="1"/>
  <c r="E44"/>
  <c r="D44"/>
  <c r="C44"/>
  <c r="E32"/>
  <c r="D32"/>
  <c r="F32" s="1"/>
  <c r="C32"/>
  <c r="E25"/>
  <c r="D25"/>
  <c r="C25"/>
  <c r="E12"/>
  <c r="D12"/>
  <c r="D11" s="1"/>
  <c r="C12"/>
  <c r="E11"/>
  <c r="C11"/>
  <c r="E242" i="97"/>
  <c r="D242"/>
  <c r="C242"/>
  <c r="E234"/>
  <c r="D234"/>
  <c r="C234"/>
  <c r="C232" s="1"/>
  <c r="E233"/>
  <c r="D233"/>
  <c r="C233"/>
  <c r="E232"/>
  <c r="D232"/>
  <c r="E230"/>
  <c r="D230"/>
  <c r="C230"/>
  <c r="E227"/>
  <c r="D227"/>
  <c r="C227"/>
  <c r="C225" s="1"/>
  <c r="E226"/>
  <c r="D226"/>
  <c r="C226"/>
  <c r="E225"/>
  <c r="D225"/>
  <c r="E223"/>
  <c r="D223"/>
  <c r="C223"/>
  <c r="E194"/>
  <c r="D194"/>
  <c r="C194"/>
  <c r="C193" s="1"/>
  <c r="C192" s="1"/>
  <c r="E193"/>
  <c r="D193"/>
  <c r="E192"/>
  <c r="D192"/>
  <c r="E179"/>
  <c r="D179"/>
  <c r="D178" s="1"/>
  <c r="D177" s="1"/>
  <c r="D207" s="1"/>
  <c r="C179"/>
  <c r="E178"/>
  <c r="C178"/>
  <c r="C177" s="1"/>
  <c r="E177"/>
  <c r="E165"/>
  <c r="D165"/>
  <c r="C165"/>
  <c r="E159"/>
  <c r="D159"/>
  <c r="C159"/>
  <c r="E150"/>
  <c r="D150"/>
  <c r="C150"/>
  <c r="C149" s="1"/>
  <c r="E146"/>
  <c r="D146"/>
  <c r="C146"/>
  <c r="E132"/>
  <c r="D132"/>
  <c r="C132"/>
  <c r="E123"/>
  <c r="D123"/>
  <c r="C123"/>
  <c r="E116"/>
  <c r="D116"/>
  <c r="C116"/>
  <c r="E110"/>
  <c r="D110"/>
  <c r="C110"/>
  <c r="E64"/>
  <c r="D64"/>
  <c r="C64"/>
  <c r="E58"/>
  <c r="E50" s="1"/>
  <c r="D58"/>
  <c r="D50" s="1"/>
  <c r="C58"/>
  <c r="E51"/>
  <c r="D51"/>
  <c r="C51"/>
  <c r="C50" s="1"/>
  <c r="E44"/>
  <c r="D44"/>
  <c r="C44"/>
  <c r="E32"/>
  <c r="D32"/>
  <c r="C32"/>
  <c r="E25"/>
  <c r="D25"/>
  <c r="F25" s="1"/>
  <c r="C25"/>
  <c r="E12"/>
  <c r="E11" s="1"/>
  <c r="E10" s="1"/>
  <c r="E70" s="1"/>
  <c r="D12"/>
  <c r="C12"/>
  <c r="D11"/>
  <c r="F11" s="1"/>
  <c r="C11"/>
  <c r="E242" i="109"/>
  <c r="D242"/>
  <c r="C242"/>
  <c r="E234"/>
  <c r="D234"/>
  <c r="C234"/>
  <c r="E233"/>
  <c r="E232" s="1"/>
  <c r="D233"/>
  <c r="D232" s="1"/>
  <c r="C233"/>
  <c r="C232" s="1"/>
  <c r="E230"/>
  <c r="D230"/>
  <c r="C230"/>
  <c r="E227"/>
  <c r="D227"/>
  <c r="C227"/>
  <c r="C225" s="1"/>
  <c r="E226"/>
  <c r="D226"/>
  <c r="C226"/>
  <c r="E225"/>
  <c r="D225"/>
  <c r="E223"/>
  <c r="C223"/>
  <c r="E194"/>
  <c r="E193" s="1"/>
  <c r="E192" s="1"/>
  <c r="D194"/>
  <c r="C194"/>
  <c r="C193" s="1"/>
  <c r="C192" s="1"/>
  <c r="D193"/>
  <c r="D192" s="1"/>
  <c r="E179"/>
  <c r="E178" s="1"/>
  <c r="E177" s="1"/>
  <c r="E207" s="1"/>
  <c r="D179"/>
  <c r="C179"/>
  <c r="D178"/>
  <c r="D177" s="1"/>
  <c r="D207" s="1"/>
  <c r="C178"/>
  <c r="C177" s="1"/>
  <c r="C207" s="1"/>
  <c r="E165"/>
  <c r="D165"/>
  <c r="C165"/>
  <c r="E159"/>
  <c r="D159"/>
  <c r="C159"/>
  <c r="E150"/>
  <c r="D150"/>
  <c r="C150"/>
  <c r="E146"/>
  <c r="D146"/>
  <c r="C146"/>
  <c r="E132"/>
  <c r="C132"/>
  <c r="E123"/>
  <c r="D123"/>
  <c r="C123"/>
  <c r="E116"/>
  <c r="K116" s="1"/>
  <c r="D116"/>
  <c r="C116"/>
  <c r="E110"/>
  <c r="D110"/>
  <c r="C110"/>
  <c r="D223"/>
  <c r="E64"/>
  <c r="D64"/>
  <c r="C64"/>
  <c r="E58"/>
  <c r="D58"/>
  <c r="C58"/>
  <c r="E51"/>
  <c r="D51"/>
  <c r="C51"/>
  <c r="E44"/>
  <c r="D44"/>
  <c r="C44"/>
  <c r="E32"/>
  <c r="D32"/>
  <c r="C32"/>
  <c r="E25"/>
  <c r="D25"/>
  <c r="C25"/>
  <c r="E12"/>
  <c r="D12"/>
  <c r="D11" s="1"/>
  <c r="D10" s="1"/>
  <c r="C12"/>
  <c r="E11"/>
  <c r="C11"/>
  <c r="E10"/>
  <c r="G160" i="76" l="1"/>
  <c r="L97" i="78"/>
  <c r="M97" s="1"/>
  <c r="AC325" i="116"/>
  <c r="AD325" s="1"/>
  <c r="F160" i="76"/>
  <c r="Y325" i="116"/>
  <c r="Z325" s="1"/>
  <c r="F160" i="61"/>
  <c r="G151" i="76"/>
  <c r="L62" i="78"/>
  <c r="M62" s="1"/>
  <c r="AC324" i="116"/>
  <c r="AD324" s="1"/>
  <c r="F151" i="76"/>
  <c r="Y324" i="116"/>
  <c r="Z324" s="1"/>
  <c r="F151" i="61"/>
  <c r="G117" i="76"/>
  <c r="AC321" i="116"/>
  <c r="AD321" s="1"/>
  <c r="F117" i="76"/>
  <c r="Y321" i="116"/>
  <c r="Z321" s="1"/>
  <c r="F117" i="61"/>
  <c r="G115" i="76"/>
  <c r="AC320" i="116"/>
  <c r="AD320" s="1"/>
  <c r="F115" i="76"/>
  <c r="Y320" i="116"/>
  <c r="Z320" s="1"/>
  <c r="F115" i="61"/>
  <c r="G111" i="76"/>
  <c r="AC319" i="116"/>
  <c r="AD319" s="1"/>
  <c r="F111" i="76"/>
  <c r="Y319" i="116"/>
  <c r="Z319" s="1"/>
  <c r="F111" i="61"/>
  <c r="H321" i="84"/>
  <c r="J253"/>
  <c r="AH159"/>
  <c r="J273"/>
  <c r="AL321"/>
  <c r="N159"/>
  <c r="I321"/>
  <c r="I159"/>
  <c r="J159" s="1"/>
  <c r="J91"/>
  <c r="G84" i="77"/>
  <c r="U223" i="85"/>
  <c r="G137" i="77"/>
  <c r="G91" i="76"/>
  <c r="G230" s="1"/>
  <c r="F91"/>
  <c r="F91" i="61"/>
  <c r="H33" i="70"/>
  <c r="B60"/>
  <c r="C84"/>
  <c r="M84" s="1"/>
  <c r="M82"/>
  <c r="I40"/>
  <c r="I65"/>
  <c r="F242" i="64"/>
  <c r="G241" i="76"/>
  <c r="H241" s="1"/>
  <c r="N84" i="70"/>
  <c r="F241" i="61"/>
  <c r="H82" i="70"/>
  <c r="I78"/>
  <c r="F69" i="76"/>
  <c r="H69" s="1"/>
  <c r="F69" i="61"/>
  <c r="G68" i="76"/>
  <c r="G64" s="1"/>
  <c r="G264" i="120"/>
  <c r="H264" s="1"/>
  <c r="F68" i="76"/>
  <c r="F68" i="61"/>
  <c r="G48" i="76"/>
  <c r="G238" i="120"/>
  <c r="H238" s="1"/>
  <c r="F44" i="64"/>
  <c r="F48" i="76"/>
  <c r="F48" i="61"/>
  <c r="G61" i="76"/>
  <c r="G230" i="120"/>
  <c r="H230" s="1"/>
  <c r="F61" i="76"/>
  <c r="F61" i="61"/>
  <c r="G60" i="76"/>
  <c r="G228" i="120"/>
  <c r="H228" s="1"/>
  <c r="F58" i="64"/>
  <c r="F60" i="76"/>
  <c r="F60" i="61"/>
  <c r="G33" i="76"/>
  <c r="G190" i="120"/>
  <c r="H190" s="1"/>
  <c r="F33" i="76"/>
  <c r="F33" i="61"/>
  <c r="G39" i="76"/>
  <c r="G205" i="120"/>
  <c r="H205" s="1"/>
  <c r="G36" i="76"/>
  <c r="G196" i="120"/>
  <c r="H196" s="1"/>
  <c r="F36" i="76"/>
  <c r="F36" i="61"/>
  <c r="F32" i="64"/>
  <c r="G31" i="76"/>
  <c r="G170" i="120"/>
  <c r="H170" s="1"/>
  <c r="G30" i="76"/>
  <c r="G169" i="120"/>
  <c r="H169" s="1"/>
  <c r="F30" i="76"/>
  <c r="F30" i="61"/>
  <c r="G29" i="76"/>
  <c r="H29" s="1"/>
  <c r="G113" i="120"/>
  <c r="H113" s="1"/>
  <c r="F29" i="61"/>
  <c r="G26" i="76"/>
  <c r="G97" i="120"/>
  <c r="H97" s="1"/>
  <c r="F25" i="64"/>
  <c r="F26" i="76"/>
  <c r="F26" i="61"/>
  <c r="G57" i="76"/>
  <c r="F57"/>
  <c r="F57" i="61"/>
  <c r="G56" i="76"/>
  <c r="G51" s="1"/>
  <c r="G73" i="120"/>
  <c r="H73" s="1"/>
  <c r="F56" i="76"/>
  <c r="F56" i="61"/>
  <c r="F51" i="64"/>
  <c r="G52" i="76"/>
  <c r="G49" i="120"/>
  <c r="H49" s="1"/>
  <c r="K134" i="77"/>
  <c r="L134" s="1"/>
  <c r="F52" i="76"/>
  <c r="F52" i="61"/>
  <c r="F89" i="76"/>
  <c r="H89" s="1"/>
  <c r="F89" i="61"/>
  <c r="G92" i="76"/>
  <c r="H92" s="1"/>
  <c r="G20" i="122"/>
  <c r="H20" s="1"/>
  <c r="F92" i="61"/>
  <c r="G78" i="76"/>
  <c r="G21" i="122"/>
  <c r="M78" i="61"/>
  <c r="F78" i="76"/>
  <c r="F78" i="61"/>
  <c r="G74" i="76"/>
  <c r="G9" i="122"/>
  <c r="H9" s="1"/>
  <c r="F74" i="76"/>
  <c r="F74" i="61"/>
  <c r="F132" i="67"/>
  <c r="F24" i="76"/>
  <c r="Y312" i="116"/>
  <c r="Z312" s="1"/>
  <c r="G19" i="76"/>
  <c r="G13" i="120"/>
  <c r="H13" s="1"/>
  <c r="F19" i="76"/>
  <c r="F19" i="61"/>
  <c r="G17" i="76"/>
  <c r="G10" i="120"/>
  <c r="H10" s="1"/>
  <c r="K99" i="77"/>
  <c r="L99" s="1"/>
  <c r="F17" i="76"/>
  <c r="F17" i="61"/>
  <c r="G16" i="76"/>
  <c r="G9" i="120"/>
  <c r="H9" s="1"/>
  <c r="K82" i="77"/>
  <c r="L82" s="1"/>
  <c r="F16" i="76"/>
  <c r="F16" i="61"/>
  <c r="G15" i="76"/>
  <c r="G8" i="120"/>
  <c r="H8" s="1"/>
  <c r="K66" i="77"/>
  <c r="L66" s="1"/>
  <c r="F15" i="76"/>
  <c r="F15" i="61"/>
  <c r="G14" i="76"/>
  <c r="G7" i="120"/>
  <c r="H7" s="1"/>
  <c r="K31" i="77"/>
  <c r="L31" s="1"/>
  <c r="F14" i="76"/>
  <c r="F14" i="61"/>
  <c r="E11" i="64"/>
  <c r="G13" i="76"/>
  <c r="G6" i="120"/>
  <c r="H6" s="1"/>
  <c r="K25" i="77"/>
  <c r="L25" s="1"/>
  <c r="F13" i="76"/>
  <c r="F13" i="61"/>
  <c r="G180" i="76"/>
  <c r="G11" i="121"/>
  <c r="H11" s="1"/>
  <c r="F180" i="76"/>
  <c r="F180" i="61"/>
  <c r="D179"/>
  <c r="D178" s="1"/>
  <c r="G183" i="76"/>
  <c r="H183" s="1"/>
  <c r="G26" i="121"/>
  <c r="H26" s="1"/>
  <c r="M183" i="61"/>
  <c r="F183"/>
  <c r="E179"/>
  <c r="G165" i="76"/>
  <c r="G175"/>
  <c r="G259" i="119"/>
  <c r="H259" s="1"/>
  <c r="K40" i="79"/>
  <c r="L40" s="1"/>
  <c r="F175" i="76"/>
  <c r="F175" i="61"/>
  <c r="F150" i="64"/>
  <c r="G148" i="76"/>
  <c r="H148" s="1"/>
  <c r="F148" i="61"/>
  <c r="E132" i="64"/>
  <c r="G147" i="76"/>
  <c r="H147" s="1"/>
  <c r="F147" i="61"/>
  <c r="G145" i="76"/>
  <c r="G182" i="119"/>
  <c r="H182" s="1"/>
  <c r="K32" i="79"/>
  <c r="L32" s="1"/>
  <c r="F145" i="76"/>
  <c r="F145" i="61"/>
  <c r="G141" i="76"/>
  <c r="G167" i="119"/>
  <c r="H167" s="1"/>
  <c r="F141" i="76"/>
  <c r="F141" i="61"/>
  <c r="F139" i="76"/>
  <c r="Y323" i="116"/>
  <c r="G139" i="76"/>
  <c r="AC323" i="116"/>
  <c r="AD323" s="1"/>
  <c r="F139" i="61"/>
  <c r="G138" i="76"/>
  <c r="G154" i="119"/>
  <c r="H154" s="1"/>
  <c r="K14" i="79"/>
  <c r="L14" s="1"/>
  <c r="F138" i="76"/>
  <c r="F138" i="61"/>
  <c r="F135" i="76"/>
  <c r="H135" s="1"/>
  <c r="F135" i="61"/>
  <c r="F136" i="76"/>
  <c r="H136" s="1"/>
  <c r="F136" i="61"/>
  <c r="G131" i="76"/>
  <c r="G104" i="119"/>
  <c r="H104" s="1"/>
  <c r="F131" i="76"/>
  <c r="F131" i="61"/>
  <c r="F123" i="64"/>
  <c r="G130" i="76"/>
  <c r="G101" i="119"/>
  <c r="H101" s="1"/>
  <c r="F130" i="76"/>
  <c r="F130" i="61"/>
  <c r="F129" i="76"/>
  <c r="H129" s="1"/>
  <c r="F129" i="61"/>
  <c r="F127" i="76"/>
  <c r="H127" s="1"/>
  <c r="F127" i="61"/>
  <c r="F116" i="64"/>
  <c r="F110"/>
  <c r="F223" i="65"/>
  <c r="G42" i="76"/>
  <c r="G221" i="120"/>
  <c r="H221" s="1"/>
  <c r="F32" i="65"/>
  <c r="F42" i="76"/>
  <c r="F42" i="61"/>
  <c r="G24" i="76"/>
  <c r="AC312" i="116"/>
  <c r="AD312" s="1"/>
  <c r="F24" i="61"/>
  <c r="F150" i="65"/>
  <c r="E149"/>
  <c r="G152" i="76"/>
  <c r="G195" i="119"/>
  <c r="H195" s="1"/>
  <c r="F152" i="76"/>
  <c r="F152" i="61"/>
  <c r="F132" i="65"/>
  <c r="F116"/>
  <c r="F242"/>
  <c r="F240" i="76"/>
  <c r="H240" s="1"/>
  <c r="F240" i="61"/>
  <c r="O33" i="70"/>
  <c r="K223" i="66"/>
  <c r="F223"/>
  <c r="G43" i="76"/>
  <c r="G222" i="120"/>
  <c r="H222" s="1"/>
  <c r="F43" i="76"/>
  <c r="F43" i="61"/>
  <c r="F39" i="76"/>
  <c r="F39" i="61"/>
  <c r="G38" i="76"/>
  <c r="G204" i="120"/>
  <c r="H204" s="1"/>
  <c r="F38" i="76"/>
  <c r="F38" i="61"/>
  <c r="G37" i="76"/>
  <c r="G203" i="120"/>
  <c r="H203" s="1"/>
  <c r="F37" i="76"/>
  <c r="F37" i="61"/>
  <c r="G35" i="76"/>
  <c r="G194" i="120"/>
  <c r="H194" s="1"/>
  <c r="F35" i="76"/>
  <c r="F35" i="61"/>
  <c r="E10" i="66"/>
  <c r="F32"/>
  <c r="E149"/>
  <c r="F150"/>
  <c r="F132"/>
  <c r="K132"/>
  <c r="F116"/>
  <c r="D109"/>
  <c r="F110"/>
  <c r="F242"/>
  <c r="F223" i="67"/>
  <c r="G49" i="76"/>
  <c r="G248" i="120"/>
  <c r="H248" s="1"/>
  <c r="F44" i="67"/>
  <c r="F49" i="76"/>
  <c r="F49" i="61"/>
  <c r="G34" i="76"/>
  <c r="G191" i="120"/>
  <c r="H191" s="1"/>
  <c r="F34" i="76"/>
  <c r="F34" i="61"/>
  <c r="G23" i="76"/>
  <c r="G37" i="120"/>
  <c r="H37" s="1"/>
  <c r="E10" i="67"/>
  <c r="F11"/>
  <c r="D149"/>
  <c r="F149" s="1"/>
  <c r="F150"/>
  <c r="F116"/>
  <c r="D109"/>
  <c r="F110"/>
  <c r="F242"/>
  <c r="F223" i="97"/>
  <c r="K223"/>
  <c r="F23" i="76"/>
  <c r="F23" i="61"/>
  <c r="D10" i="97"/>
  <c r="F10" s="1"/>
  <c r="F31" i="76"/>
  <c r="F31" i="61"/>
  <c r="E149" i="97"/>
  <c r="F150"/>
  <c r="F132"/>
  <c r="F116"/>
  <c r="G26" i="119"/>
  <c r="H26" s="1"/>
  <c r="E109" i="97"/>
  <c r="F110"/>
  <c r="K242"/>
  <c r="F242"/>
  <c r="N71" i="70"/>
  <c r="F239" i="61"/>
  <c r="F242" i="109"/>
  <c r="K223"/>
  <c r="F223"/>
  <c r="G76" i="76"/>
  <c r="H76" s="1"/>
  <c r="G19" i="122"/>
  <c r="H19" s="1"/>
  <c r="F76" i="61"/>
  <c r="G164" i="76"/>
  <c r="G159" s="1"/>
  <c r="G207" i="119"/>
  <c r="H207" s="1"/>
  <c r="F164" i="76"/>
  <c r="F164" i="61"/>
  <c r="F162" i="76"/>
  <c r="H162" s="1"/>
  <c r="F162" i="61"/>
  <c r="F159" i="109"/>
  <c r="G161" i="76"/>
  <c r="G204" i="119"/>
  <c r="H204" s="1"/>
  <c r="F161" i="76"/>
  <c r="F161" i="61"/>
  <c r="G158" i="76"/>
  <c r="F158"/>
  <c r="F158" i="61"/>
  <c r="F156" i="76"/>
  <c r="H156" s="1"/>
  <c r="F156" i="61"/>
  <c r="G155" i="76"/>
  <c r="F155"/>
  <c r="F155" i="61"/>
  <c r="G154" i="76"/>
  <c r="F154"/>
  <c r="F154" i="61"/>
  <c r="G153" i="76"/>
  <c r="D149" i="109"/>
  <c r="F150"/>
  <c r="F153" i="76"/>
  <c r="F153" i="61"/>
  <c r="G134" i="76"/>
  <c r="H134" s="1"/>
  <c r="F134" i="61"/>
  <c r="F132" i="109"/>
  <c r="K132"/>
  <c r="G122" i="76"/>
  <c r="F122"/>
  <c r="F122" i="61"/>
  <c r="G121" i="76"/>
  <c r="F121"/>
  <c r="F121" i="61"/>
  <c r="G120" i="76"/>
  <c r="F120"/>
  <c r="F120" i="61"/>
  <c r="G119" i="76"/>
  <c r="F119"/>
  <c r="F119" i="61"/>
  <c r="F116" i="109"/>
  <c r="G118" i="76"/>
  <c r="F118"/>
  <c r="F118" i="61"/>
  <c r="G113" i="76"/>
  <c r="F113"/>
  <c r="F113" i="61"/>
  <c r="E109" i="109"/>
  <c r="G112" i="76"/>
  <c r="F110" i="109"/>
  <c r="F112" i="76"/>
  <c r="F112" i="61"/>
  <c r="J173" i="116"/>
  <c r="J177" s="1"/>
  <c r="J160" s="1"/>
  <c r="J166" s="1"/>
  <c r="F173"/>
  <c r="X323"/>
  <c r="Z323" s="1"/>
  <c r="F27"/>
  <c r="E10"/>
  <c r="D35"/>
  <c r="D41" s="1"/>
  <c r="F202"/>
  <c r="P10"/>
  <c r="Q27"/>
  <c r="E85"/>
  <c r="F102"/>
  <c r="P160"/>
  <c r="Q177"/>
  <c r="E235"/>
  <c r="F252"/>
  <c r="E310"/>
  <c r="F327"/>
  <c r="E210"/>
  <c r="F227"/>
  <c r="Q102"/>
  <c r="F177"/>
  <c r="Q327"/>
  <c r="E35"/>
  <c r="F52"/>
  <c r="E185"/>
  <c r="P85"/>
  <c r="E160"/>
  <c r="Q227"/>
  <c r="P310"/>
  <c r="P110"/>
  <c r="Q127"/>
  <c r="E110"/>
  <c r="F127"/>
  <c r="P60"/>
  <c r="Q77"/>
  <c r="P285"/>
  <c r="Q302"/>
  <c r="F152"/>
  <c r="P210"/>
  <c r="P260"/>
  <c r="Q277"/>
  <c r="P235"/>
  <c r="Q252"/>
  <c r="E285"/>
  <c r="F302"/>
  <c r="F77"/>
  <c r="E135"/>
  <c r="Q202"/>
  <c r="P35"/>
  <c r="Q52"/>
  <c r="P135"/>
  <c r="Q152"/>
  <c r="E260"/>
  <c r="F277"/>
  <c r="E60"/>
  <c r="P185"/>
  <c r="B21" i="70"/>
  <c r="C21"/>
  <c r="B42"/>
  <c r="H21"/>
  <c r="O21" s="1"/>
  <c r="C69"/>
  <c r="M69" s="1"/>
  <c r="H52"/>
  <c r="H69"/>
  <c r="C60"/>
  <c r="M60" s="1"/>
  <c r="B52"/>
  <c r="H42"/>
  <c r="C33"/>
  <c r="M33" s="1"/>
  <c r="B69"/>
  <c r="B33"/>
  <c r="C52"/>
  <c r="M52" s="1"/>
  <c r="C42"/>
  <c r="M42" s="1"/>
  <c r="D26" i="75"/>
  <c r="D177" i="61"/>
  <c r="E25"/>
  <c r="E11" i="68" s="1"/>
  <c r="C116" i="61"/>
  <c r="K13" i="68" s="1"/>
  <c r="C58" i="61"/>
  <c r="C110"/>
  <c r="K9" i="68" s="1"/>
  <c r="E194" i="61"/>
  <c r="E193" s="1"/>
  <c r="E123" i="76"/>
  <c r="E165" i="61"/>
  <c r="E64" i="76"/>
  <c r="D123" i="61"/>
  <c r="E64"/>
  <c r="D150"/>
  <c r="D51"/>
  <c r="C132"/>
  <c r="K16" i="68" s="1"/>
  <c r="E146" i="76"/>
  <c r="E132" s="1"/>
  <c r="E109" s="1"/>
  <c r="C165" i="61"/>
  <c r="D194"/>
  <c r="D193" s="1"/>
  <c r="D27" i="75" s="1"/>
  <c r="E51" i="76"/>
  <c r="F223"/>
  <c r="E116"/>
  <c r="E123" i="61"/>
  <c r="C51"/>
  <c r="C73"/>
  <c r="C72" s="1"/>
  <c r="F146" i="76"/>
  <c r="C159" i="61"/>
  <c r="K11" i="69" s="1"/>
  <c r="E109" i="66"/>
  <c r="D116" i="61"/>
  <c r="D10" i="65"/>
  <c r="D73" i="61"/>
  <c r="D72" s="1"/>
  <c r="D14" i="75" s="1"/>
  <c r="D159" i="61"/>
  <c r="E150"/>
  <c r="E88"/>
  <c r="E58"/>
  <c r="D58"/>
  <c r="D44"/>
  <c r="D32"/>
  <c r="D12"/>
  <c r="C14" i="75"/>
  <c r="C71" i="61"/>
  <c r="E27" i="75"/>
  <c r="E192" i="61"/>
  <c r="R211" i="85" s="1"/>
  <c r="C8" i="75"/>
  <c r="S323" i="84"/>
  <c r="S324" s="1"/>
  <c r="G194" i="76"/>
  <c r="G193" s="1"/>
  <c r="G192" s="1"/>
  <c r="G234"/>
  <c r="G232" s="1"/>
  <c r="E242" i="61"/>
  <c r="G239" i="76"/>
  <c r="E51" i="61"/>
  <c r="C12"/>
  <c r="C11" s="1"/>
  <c r="C32"/>
  <c r="C44"/>
  <c r="C10" i="68"/>
  <c r="C11"/>
  <c r="E21"/>
  <c r="E22"/>
  <c r="C24"/>
  <c r="C25"/>
  <c r="C27"/>
  <c r="C28"/>
  <c r="C29"/>
  <c r="C30"/>
  <c r="C31"/>
  <c r="C32"/>
  <c r="M10"/>
  <c r="K12"/>
  <c r="M14"/>
  <c r="K17"/>
  <c r="K21"/>
  <c r="K22"/>
  <c r="K23"/>
  <c r="K24"/>
  <c r="K26"/>
  <c r="K27"/>
  <c r="K28"/>
  <c r="K29"/>
  <c r="K30"/>
  <c r="K31"/>
  <c r="K32"/>
  <c r="E21" i="69"/>
  <c r="E22"/>
  <c r="E23"/>
  <c r="C25"/>
  <c r="C27"/>
  <c r="C28"/>
  <c r="C29"/>
  <c r="C30"/>
  <c r="C31"/>
  <c r="C32"/>
  <c r="K10"/>
  <c r="M12"/>
  <c r="M14"/>
  <c r="K21"/>
  <c r="K22"/>
  <c r="K23"/>
  <c r="K24"/>
  <c r="K26"/>
  <c r="K27"/>
  <c r="K28"/>
  <c r="K29"/>
  <c r="K30"/>
  <c r="K31"/>
  <c r="K32"/>
  <c r="D10" i="75"/>
  <c r="AU326" i="84"/>
  <c r="AU327" s="1"/>
  <c r="C25" i="75"/>
  <c r="O141" i="85"/>
  <c r="AI323" i="84"/>
  <c r="AI324" s="1"/>
  <c r="C11" i="75"/>
  <c r="AM323" i="84"/>
  <c r="AM324" s="1"/>
  <c r="C12" i="75"/>
  <c r="E73" i="76"/>
  <c r="E72" s="1"/>
  <c r="E71" s="1"/>
  <c r="E224"/>
  <c r="E222" s="1"/>
  <c r="T326" i="84"/>
  <c r="T327" s="1"/>
  <c r="F114" i="76"/>
  <c r="D19" i="75"/>
  <c r="AB326" i="84"/>
  <c r="AB327" s="1"/>
  <c r="D21" i="75"/>
  <c r="F194" i="76"/>
  <c r="F193" s="1"/>
  <c r="F192" s="1"/>
  <c r="F234"/>
  <c r="F232" s="1"/>
  <c r="D242" i="61"/>
  <c r="L86" i="70" s="1"/>
  <c r="F239" i="76"/>
  <c r="F242" s="1"/>
  <c r="E50"/>
  <c r="D64" i="61"/>
  <c r="D88"/>
  <c r="D87" s="1"/>
  <c r="D110"/>
  <c r="C150"/>
  <c r="C194"/>
  <c r="C193" s="1"/>
  <c r="D15" i="68"/>
  <c r="D21"/>
  <c r="F21" s="1"/>
  <c r="D22"/>
  <c r="D23"/>
  <c r="L10"/>
  <c r="N10" s="1"/>
  <c r="L11"/>
  <c r="L14"/>
  <c r="N14" s="1"/>
  <c r="L15"/>
  <c r="D11" i="69"/>
  <c r="D21"/>
  <c r="F21" s="1"/>
  <c r="D22"/>
  <c r="D23"/>
  <c r="D24"/>
  <c r="L12"/>
  <c r="L14"/>
  <c r="E88" i="76"/>
  <c r="E87" s="1"/>
  <c r="E86" s="1"/>
  <c r="E231"/>
  <c r="E229" s="1"/>
  <c r="W326" i="84"/>
  <c r="W327" s="1"/>
  <c r="C20" i="75"/>
  <c r="C24"/>
  <c r="E227" i="76"/>
  <c r="E225" s="1"/>
  <c r="E179"/>
  <c r="E178" s="1"/>
  <c r="E177" s="1"/>
  <c r="O326" i="84"/>
  <c r="O327" s="1"/>
  <c r="C18" i="75"/>
  <c r="E114" i="76"/>
  <c r="C19" i="75"/>
  <c r="S326" i="84"/>
  <c r="S327" s="1"/>
  <c r="E234" i="76"/>
  <c r="E232" s="1"/>
  <c r="E194"/>
  <c r="E193" s="1"/>
  <c r="E192" s="1"/>
  <c r="C242" i="61"/>
  <c r="E239" i="76"/>
  <c r="E242" s="1"/>
  <c r="D25" i="61"/>
  <c r="E12" i="76"/>
  <c r="E11" s="1"/>
  <c r="E32"/>
  <c r="E44"/>
  <c r="C64" i="61"/>
  <c r="C88"/>
  <c r="C87" s="1"/>
  <c r="C123"/>
  <c r="D146"/>
  <c r="D132" s="1"/>
  <c r="E150" i="76"/>
  <c r="E159"/>
  <c r="D165" i="61"/>
  <c r="F165" s="1"/>
  <c r="AX326" i="84" s="1"/>
  <c r="AX327" s="1"/>
  <c r="C179" i="61"/>
  <c r="C178" s="1"/>
  <c r="D192"/>
  <c r="R141" i="85" s="1"/>
  <c r="E10" i="68"/>
  <c r="C21"/>
  <c r="C22"/>
  <c r="C23"/>
  <c r="E24"/>
  <c r="E25"/>
  <c r="E27"/>
  <c r="E28"/>
  <c r="E29"/>
  <c r="E30"/>
  <c r="E31"/>
  <c r="E32"/>
  <c r="K10"/>
  <c r="K11"/>
  <c r="M12"/>
  <c r="K14"/>
  <c r="M17"/>
  <c r="M21"/>
  <c r="M22"/>
  <c r="M23"/>
  <c r="M24"/>
  <c r="N24" s="1"/>
  <c r="M26"/>
  <c r="M27"/>
  <c r="M28"/>
  <c r="M29"/>
  <c r="M30"/>
  <c r="M31"/>
  <c r="M32"/>
  <c r="C9" i="69"/>
  <c r="C11"/>
  <c r="C21"/>
  <c r="C22"/>
  <c r="C23"/>
  <c r="C24"/>
  <c r="E25"/>
  <c r="E27"/>
  <c r="E28"/>
  <c r="E29"/>
  <c r="E30"/>
  <c r="E31"/>
  <c r="E32"/>
  <c r="M10"/>
  <c r="K12"/>
  <c r="K13"/>
  <c r="K14"/>
  <c r="M21"/>
  <c r="M22"/>
  <c r="M23"/>
  <c r="M24"/>
  <c r="M26"/>
  <c r="M27"/>
  <c r="M28"/>
  <c r="M29"/>
  <c r="M30"/>
  <c r="M31"/>
  <c r="M32"/>
  <c r="D10" i="68"/>
  <c r="D24"/>
  <c r="D25"/>
  <c r="F25" s="1"/>
  <c r="D27"/>
  <c r="D28"/>
  <c r="D29"/>
  <c r="D30"/>
  <c r="D31"/>
  <c r="D32"/>
  <c r="L12"/>
  <c r="L17"/>
  <c r="L21"/>
  <c r="N21" s="1"/>
  <c r="L22"/>
  <c r="L23"/>
  <c r="L24"/>
  <c r="L26"/>
  <c r="L27"/>
  <c r="L28"/>
  <c r="L29"/>
  <c r="L30"/>
  <c r="L31"/>
  <c r="L32"/>
  <c r="D25" i="69"/>
  <c r="D27"/>
  <c r="D28"/>
  <c r="D29"/>
  <c r="D30"/>
  <c r="D31"/>
  <c r="D32"/>
  <c r="L10"/>
  <c r="L21"/>
  <c r="L22"/>
  <c r="L23"/>
  <c r="L24"/>
  <c r="L26"/>
  <c r="L27"/>
  <c r="L28"/>
  <c r="L29"/>
  <c r="L30"/>
  <c r="L31"/>
  <c r="L32"/>
  <c r="E159" i="61"/>
  <c r="E146"/>
  <c r="E116"/>
  <c r="E19" i="75"/>
  <c r="G114" i="76"/>
  <c r="U326" i="84"/>
  <c r="U327" s="1"/>
  <c r="M11" i="68"/>
  <c r="E110" i="61"/>
  <c r="AO323" i="84"/>
  <c r="AO324" s="1"/>
  <c r="E32" i="61"/>
  <c r="E12"/>
  <c r="G231" i="76"/>
  <c r="E24" i="69"/>
  <c r="F24" s="1"/>
  <c r="E109" i="65"/>
  <c r="E23" i="68"/>
  <c r="E73" i="61"/>
  <c r="E44"/>
  <c r="H60" i="70"/>
  <c r="D165" i="64"/>
  <c r="F165" s="1"/>
  <c r="C165"/>
  <c r="E149"/>
  <c r="D159"/>
  <c r="C159"/>
  <c r="C149" s="1"/>
  <c r="D146"/>
  <c r="D132" s="1"/>
  <c r="C132"/>
  <c r="C123"/>
  <c r="E109"/>
  <c r="C116"/>
  <c r="C110"/>
  <c r="C64"/>
  <c r="C58"/>
  <c r="C51"/>
  <c r="C44"/>
  <c r="C32"/>
  <c r="C25"/>
  <c r="C12"/>
  <c r="C11" s="1"/>
  <c r="D12"/>
  <c r="E50"/>
  <c r="C207" i="65"/>
  <c r="E10"/>
  <c r="C10"/>
  <c r="C70" s="1"/>
  <c r="D50"/>
  <c r="D149"/>
  <c r="F149" s="1"/>
  <c r="C215"/>
  <c r="C149"/>
  <c r="C94" s="1"/>
  <c r="D109"/>
  <c r="C109"/>
  <c r="C79"/>
  <c r="C231"/>
  <c r="C229" s="1"/>
  <c r="C228" s="1"/>
  <c r="C88"/>
  <c r="C87" s="1"/>
  <c r="C86" s="1"/>
  <c r="C214"/>
  <c r="E94"/>
  <c r="E215"/>
  <c r="D70"/>
  <c r="E207" i="66"/>
  <c r="C10"/>
  <c r="C109"/>
  <c r="C176" s="1"/>
  <c r="C208" s="1"/>
  <c r="D10"/>
  <c r="D70" s="1"/>
  <c r="D149"/>
  <c r="C215"/>
  <c r="C79"/>
  <c r="C70"/>
  <c r="C94"/>
  <c r="C207" i="67"/>
  <c r="C10"/>
  <c r="E50"/>
  <c r="E109"/>
  <c r="C215"/>
  <c r="C149"/>
  <c r="C94" s="1"/>
  <c r="C109"/>
  <c r="C176" s="1"/>
  <c r="D10"/>
  <c r="F10" s="1"/>
  <c r="E94"/>
  <c r="E215"/>
  <c r="E207"/>
  <c r="E70"/>
  <c r="C231"/>
  <c r="C229" s="1"/>
  <c r="C228" s="1"/>
  <c r="C88"/>
  <c r="C87" s="1"/>
  <c r="C86" s="1"/>
  <c r="C70"/>
  <c r="C207" i="97"/>
  <c r="D109"/>
  <c r="E207"/>
  <c r="D149"/>
  <c r="C215"/>
  <c r="C109"/>
  <c r="C176" s="1"/>
  <c r="C208" s="1"/>
  <c r="C10"/>
  <c r="C214" s="1"/>
  <c r="E214"/>
  <c r="C94"/>
  <c r="C10" i="109"/>
  <c r="C70" s="1"/>
  <c r="E149"/>
  <c r="D50"/>
  <c r="C50"/>
  <c r="C215" s="1"/>
  <c r="C149"/>
  <c r="C109"/>
  <c r="C79" s="1"/>
  <c r="E50"/>
  <c r="D70"/>
  <c r="D132"/>
  <c r="D109" s="1"/>
  <c r="N17" i="68" l="1"/>
  <c r="H160" i="76"/>
  <c r="H151"/>
  <c r="H117"/>
  <c r="H115"/>
  <c r="N12" i="68"/>
  <c r="H111" i="76"/>
  <c r="J321" i="84"/>
  <c r="F24" i="68"/>
  <c r="H91" i="76"/>
  <c r="F23" i="69"/>
  <c r="F230" i="76"/>
  <c r="H230" s="1"/>
  <c r="H84" i="70"/>
  <c r="I82"/>
  <c r="O82"/>
  <c r="E13" i="75"/>
  <c r="E13" i="69"/>
  <c r="F64" i="61"/>
  <c r="AT323" i="84" s="1"/>
  <c r="AT324" s="1"/>
  <c r="AS323"/>
  <c r="AS324" s="1"/>
  <c r="H68" i="76"/>
  <c r="F64"/>
  <c r="H64" s="1"/>
  <c r="H48"/>
  <c r="G44"/>
  <c r="H61"/>
  <c r="G58"/>
  <c r="H60"/>
  <c r="E11" i="69"/>
  <c r="F11" s="1"/>
  <c r="F58" i="76"/>
  <c r="D12" i="75"/>
  <c r="F58" i="61"/>
  <c r="AP323" i="84" s="1"/>
  <c r="AP324" s="1"/>
  <c r="AN323"/>
  <c r="AN324" s="1"/>
  <c r="H33" i="76"/>
  <c r="H39"/>
  <c r="H36"/>
  <c r="H31"/>
  <c r="H30"/>
  <c r="F25"/>
  <c r="G25"/>
  <c r="E8" i="75"/>
  <c r="H26" i="76"/>
  <c r="U323" i="84"/>
  <c r="U324" s="1"/>
  <c r="H57" i="76"/>
  <c r="H56"/>
  <c r="F51"/>
  <c r="H51" s="1"/>
  <c r="H52"/>
  <c r="AJ323" i="84"/>
  <c r="AJ324" s="1"/>
  <c r="F51" i="61"/>
  <c r="AL323" i="84" s="1"/>
  <c r="AL324" s="1"/>
  <c r="F231" i="76"/>
  <c r="H231" s="1"/>
  <c r="F88"/>
  <c r="F87" s="1"/>
  <c r="F86" s="1"/>
  <c r="E87" i="61"/>
  <c r="F88"/>
  <c r="G229" i="76"/>
  <c r="G88"/>
  <c r="H78"/>
  <c r="G224"/>
  <c r="H74"/>
  <c r="F224"/>
  <c r="F73"/>
  <c r="F72" s="1"/>
  <c r="F71" s="1"/>
  <c r="F23" i="68"/>
  <c r="F10"/>
  <c r="H24" i="76"/>
  <c r="H19"/>
  <c r="H17"/>
  <c r="H16"/>
  <c r="H15"/>
  <c r="G12"/>
  <c r="H14"/>
  <c r="E10" i="64"/>
  <c r="E11" i="61"/>
  <c r="K137" i="77"/>
  <c r="L137" s="1"/>
  <c r="H13" i="76"/>
  <c r="D11" i="64"/>
  <c r="F12"/>
  <c r="D11" i="61"/>
  <c r="P323" i="84" s="1"/>
  <c r="P324" s="1"/>
  <c r="F12" i="61"/>
  <c r="F12" i="76"/>
  <c r="H180"/>
  <c r="F227"/>
  <c r="F225" s="1"/>
  <c r="F179"/>
  <c r="F178" s="1"/>
  <c r="F177" s="1"/>
  <c r="F207" s="1"/>
  <c r="E178" i="61"/>
  <c r="F179"/>
  <c r="G179" i="76"/>
  <c r="G227"/>
  <c r="H175"/>
  <c r="M13" i="69"/>
  <c r="L123" i="78"/>
  <c r="M123" s="1"/>
  <c r="F165" i="76"/>
  <c r="H165" s="1"/>
  <c r="D149" i="64"/>
  <c r="F149" s="1"/>
  <c r="F159"/>
  <c r="F146"/>
  <c r="G146" i="76"/>
  <c r="H146" s="1"/>
  <c r="E132" i="61"/>
  <c r="E22" i="75" s="1"/>
  <c r="G193" i="119"/>
  <c r="H193" s="1"/>
  <c r="F146" i="61"/>
  <c r="H145" i="76"/>
  <c r="H141"/>
  <c r="H139"/>
  <c r="H138"/>
  <c r="AE326" i="84"/>
  <c r="AE327" s="1"/>
  <c r="C22" i="75"/>
  <c r="V22" s="1"/>
  <c r="F132" i="76"/>
  <c r="D109" i="64"/>
  <c r="F132"/>
  <c r="H131" i="76"/>
  <c r="G123"/>
  <c r="F123" i="61"/>
  <c r="AD326" i="84" s="1"/>
  <c r="AD327" s="1"/>
  <c r="AC326"/>
  <c r="AC327" s="1"/>
  <c r="H130" i="76"/>
  <c r="F123"/>
  <c r="H42"/>
  <c r="F10" i="65"/>
  <c r="E70"/>
  <c r="H152" i="76"/>
  <c r="D94" i="65"/>
  <c r="F94" s="1"/>
  <c r="E176"/>
  <c r="D176"/>
  <c r="F109"/>
  <c r="I21" i="70"/>
  <c r="M21"/>
  <c r="I33"/>
  <c r="C71"/>
  <c r="H43" i="76"/>
  <c r="H38"/>
  <c r="H37"/>
  <c r="H35"/>
  <c r="G32"/>
  <c r="F32"/>
  <c r="E70" i="66"/>
  <c r="F10"/>
  <c r="F149"/>
  <c r="E94"/>
  <c r="E215"/>
  <c r="D94"/>
  <c r="D215"/>
  <c r="F109"/>
  <c r="E176"/>
  <c r="D176"/>
  <c r="D214"/>
  <c r="D73"/>
  <c r="I42" i="70"/>
  <c r="O42"/>
  <c r="F10" i="75"/>
  <c r="H49" i="76"/>
  <c r="AB323" i="84"/>
  <c r="AB324" s="1"/>
  <c r="F44" i="61"/>
  <c r="AD323" i="84" s="1"/>
  <c r="AD324" s="1"/>
  <c r="F44" i="76"/>
  <c r="H44" s="1"/>
  <c r="H34"/>
  <c r="D9" i="75"/>
  <c r="F32" i="61"/>
  <c r="Z323" i="84" s="1"/>
  <c r="Z324" s="1"/>
  <c r="G11" i="76"/>
  <c r="H23"/>
  <c r="D215" i="67"/>
  <c r="F215" s="1"/>
  <c r="D94"/>
  <c r="F94" s="1"/>
  <c r="G110" i="76"/>
  <c r="D176" i="67"/>
  <c r="F109"/>
  <c r="D214"/>
  <c r="I52" i="70"/>
  <c r="O52"/>
  <c r="I60"/>
  <c r="O60"/>
  <c r="G223" i="76"/>
  <c r="H223" s="1"/>
  <c r="G73"/>
  <c r="D70" i="97"/>
  <c r="F70" s="1"/>
  <c r="F25" i="61"/>
  <c r="V323" i="84" s="1"/>
  <c r="V324" s="1"/>
  <c r="E94" i="97"/>
  <c r="E215"/>
  <c r="F149"/>
  <c r="D94"/>
  <c r="D215"/>
  <c r="H114" i="76"/>
  <c r="E176" i="97"/>
  <c r="K79"/>
  <c r="F109"/>
  <c r="I69" i="70"/>
  <c r="O69"/>
  <c r="N86"/>
  <c r="F242" i="61"/>
  <c r="G242" i="76"/>
  <c r="H242" s="1"/>
  <c r="H239"/>
  <c r="E72" i="61"/>
  <c r="F73"/>
  <c r="H164" i="76"/>
  <c r="H161"/>
  <c r="L99" i="78"/>
  <c r="M99" s="1"/>
  <c r="F159" i="76"/>
  <c r="H159" s="1"/>
  <c r="D24" i="75"/>
  <c r="F159" i="61"/>
  <c r="AT326" i="84" s="1"/>
  <c r="AT327" s="1"/>
  <c r="H158" i="76"/>
  <c r="H155"/>
  <c r="H154"/>
  <c r="G150"/>
  <c r="G149" s="1"/>
  <c r="F149" i="109"/>
  <c r="E215"/>
  <c r="H153" i="76"/>
  <c r="M9" i="69"/>
  <c r="L64" i="78"/>
  <c r="M64" s="1"/>
  <c r="F150" i="76"/>
  <c r="D94" i="109"/>
  <c r="D231" s="1"/>
  <c r="L9" i="69"/>
  <c r="F150" i="61"/>
  <c r="AP326" i="84" s="1"/>
  <c r="AP327" s="1"/>
  <c r="D215" i="109"/>
  <c r="H122" i="76"/>
  <c r="E176" i="109"/>
  <c r="H121" i="76"/>
  <c r="H120"/>
  <c r="H119"/>
  <c r="G116"/>
  <c r="H118"/>
  <c r="F116"/>
  <c r="D20" i="75"/>
  <c r="F116" i="61"/>
  <c r="Z326" i="84" s="1"/>
  <c r="Z327" s="1"/>
  <c r="F19" i="75"/>
  <c r="N11" i="68"/>
  <c r="H113" i="76"/>
  <c r="F109" i="109"/>
  <c r="E224"/>
  <c r="H112" i="76"/>
  <c r="E214" i="109"/>
  <c r="F110" i="76"/>
  <c r="F110" i="61"/>
  <c r="R326" i="84" s="1"/>
  <c r="R327" s="1"/>
  <c r="F10" i="116"/>
  <c r="E16"/>
  <c r="F16" s="1"/>
  <c r="P216"/>
  <c r="Q216" s="1"/>
  <c r="Q210"/>
  <c r="E316"/>
  <c r="F316" s="1"/>
  <c r="F310"/>
  <c r="P41"/>
  <c r="Q41" s="1"/>
  <c r="Q35"/>
  <c r="E191"/>
  <c r="F191" s="1"/>
  <c r="F185"/>
  <c r="E216"/>
  <c r="F216" s="1"/>
  <c r="F210"/>
  <c r="E91"/>
  <c r="F91" s="1"/>
  <c r="F85"/>
  <c r="P16"/>
  <c r="Q16" s="1"/>
  <c r="Q10"/>
  <c r="P191"/>
  <c r="Q191" s="1"/>
  <c r="Q185"/>
  <c r="P241"/>
  <c r="Q241" s="1"/>
  <c r="Q235"/>
  <c r="P66"/>
  <c r="Q66" s="1"/>
  <c r="Q60"/>
  <c r="P91"/>
  <c r="Q91" s="1"/>
  <c r="Q85"/>
  <c r="E141"/>
  <c r="F141" s="1"/>
  <c r="F135"/>
  <c r="P141"/>
  <c r="Q141" s="1"/>
  <c r="Q135"/>
  <c r="E166"/>
  <c r="F166" s="1"/>
  <c r="F160"/>
  <c r="P166"/>
  <c r="Q166" s="1"/>
  <c r="Q160"/>
  <c r="P266"/>
  <c r="Q266" s="1"/>
  <c r="Q260"/>
  <c r="E291"/>
  <c r="F291" s="1"/>
  <c r="F285"/>
  <c r="P291"/>
  <c r="Q291" s="1"/>
  <c r="Q285"/>
  <c r="E116"/>
  <c r="F116" s="1"/>
  <c r="F110"/>
  <c r="E266"/>
  <c r="F266" s="1"/>
  <c r="F260"/>
  <c r="P316"/>
  <c r="Q316" s="1"/>
  <c r="Q310"/>
  <c r="E241"/>
  <c r="F241" s="1"/>
  <c r="F235"/>
  <c r="E66"/>
  <c r="F66" s="1"/>
  <c r="F60"/>
  <c r="P116"/>
  <c r="Q116" s="1"/>
  <c r="Q110"/>
  <c r="E41"/>
  <c r="F41" s="1"/>
  <c r="F35"/>
  <c r="B71" i="70"/>
  <c r="B86" s="1"/>
  <c r="H71"/>
  <c r="AW326" i="84"/>
  <c r="AW327" s="1"/>
  <c r="L20" i="68"/>
  <c r="L19" s="1"/>
  <c r="L18" s="1"/>
  <c r="E25" i="75"/>
  <c r="AN326" i="84"/>
  <c r="AN327" s="1"/>
  <c r="D23" i="75"/>
  <c r="D9" i="69"/>
  <c r="F9" s="1"/>
  <c r="D11" i="75"/>
  <c r="D13" i="68"/>
  <c r="AQ326" i="84"/>
  <c r="AQ327" s="1"/>
  <c r="E50" i="61"/>
  <c r="E21" i="75"/>
  <c r="E23"/>
  <c r="D207" i="61"/>
  <c r="M15" i="68"/>
  <c r="N15" s="1"/>
  <c r="E20"/>
  <c r="E12" i="75"/>
  <c r="L20" i="69"/>
  <c r="L19" s="1"/>
  <c r="L18" s="1"/>
  <c r="E10" i="76"/>
  <c r="E207"/>
  <c r="G50"/>
  <c r="D214" i="97"/>
  <c r="F214" s="1"/>
  <c r="D176"/>
  <c r="E214" i="66"/>
  <c r="L13" i="68"/>
  <c r="X326" i="84"/>
  <c r="X327" s="1"/>
  <c r="D71" i="61"/>
  <c r="F141" i="85" s="1"/>
  <c r="AR326" i="84"/>
  <c r="AR327" s="1"/>
  <c r="L11" i="69"/>
  <c r="AO326" i="84"/>
  <c r="AO327" s="1"/>
  <c r="E149" i="61"/>
  <c r="E20" i="69"/>
  <c r="X323" i="84"/>
  <c r="X324" s="1"/>
  <c r="E70" i="76"/>
  <c r="E214"/>
  <c r="L244" s="1"/>
  <c r="C23" i="75"/>
  <c r="AM326" i="84"/>
  <c r="AM327" s="1"/>
  <c r="K9" i="69"/>
  <c r="K8" s="1"/>
  <c r="C149" i="61"/>
  <c r="C26" i="75"/>
  <c r="C177" i="61"/>
  <c r="C15" i="75"/>
  <c r="C86" i="61"/>
  <c r="I71" i="85" s="1"/>
  <c r="D15" i="75"/>
  <c r="D86" i="61"/>
  <c r="I141" i="85" s="1"/>
  <c r="O323" i="84"/>
  <c r="O324" s="1"/>
  <c r="C7" i="75"/>
  <c r="C9" i="68"/>
  <c r="C10" i="61"/>
  <c r="F71" i="85"/>
  <c r="M20" i="69"/>
  <c r="M19" s="1"/>
  <c r="M18" s="1"/>
  <c r="E228" i="76"/>
  <c r="C20" i="69"/>
  <c r="C19" s="1"/>
  <c r="C18" s="1"/>
  <c r="E149" i="76"/>
  <c r="E215" s="1"/>
  <c r="E245" s="1"/>
  <c r="D20" i="68"/>
  <c r="K20" i="69"/>
  <c r="K19" s="1"/>
  <c r="K18" s="1"/>
  <c r="K20" i="68"/>
  <c r="K19" s="1"/>
  <c r="K18" s="1"/>
  <c r="D22" i="75"/>
  <c r="AF326" i="84"/>
  <c r="AF327" s="1"/>
  <c r="L16" i="68"/>
  <c r="S141" i="85"/>
  <c r="C27" i="75"/>
  <c r="C192" i="61"/>
  <c r="R71" i="85" s="1"/>
  <c r="D18" i="75"/>
  <c r="P326" i="84"/>
  <c r="P327" s="1"/>
  <c r="L9" i="68"/>
  <c r="D109" i="61"/>
  <c r="W323" i="84"/>
  <c r="W324" s="1"/>
  <c r="C9" i="75"/>
  <c r="C13" i="68"/>
  <c r="AK323" i="84"/>
  <c r="AK324" s="1"/>
  <c r="E11" i="75"/>
  <c r="E9" i="69"/>
  <c r="E8" s="1"/>
  <c r="C20" i="68"/>
  <c r="E101" i="76"/>
  <c r="C13" i="75"/>
  <c r="AQ323" i="84"/>
  <c r="AQ324" s="1"/>
  <c r="C50" i="61"/>
  <c r="C13" i="69"/>
  <c r="C8" s="1"/>
  <c r="D8" i="75"/>
  <c r="F8" s="1"/>
  <c r="T323" i="84"/>
  <c r="T324" s="1"/>
  <c r="D11" i="68"/>
  <c r="F11" s="1"/>
  <c r="AR323" i="84"/>
  <c r="AR324" s="1"/>
  <c r="D13" i="75"/>
  <c r="D13" i="69"/>
  <c r="AV326" i="84"/>
  <c r="AV327" s="1"/>
  <c r="D25" i="75"/>
  <c r="D149" i="61"/>
  <c r="L13" i="69"/>
  <c r="N13" s="1"/>
  <c r="AA326" i="84"/>
  <c r="AA327" s="1"/>
  <c r="C21" i="75"/>
  <c r="C28" s="1"/>
  <c r="K15" i="68"/>
  <c r="AA323" i="84"/>
  <c r="AA324" s="1"/>
  <c r="C10" i="75"/>
  <c r="C15" i="68"/>
  <c r="M20"/>
  <c r="D50" i="61"/>
  <c r="D20" i="69"/>
  <c r="D19" s="1"/>
  <c r="D18" s="1"/>
  <c r="D35" s="1"/>
  <c r="E221" i="76"/>
  <c r="E220" s="1"/>
  <c r="C109" i="61"/>
  <c r="D10"/>
  <c r="E214" i="65"/>
  <c r="E24" i="75"/>
  <c r="AS326" i="84"/>
  <c r="AS327" s="1"/>
  <c r="M11" i="69"/>
  <c r="M8" s="1"/>
  <c r="E20" i="75"/>
  <c r="Y326" i="84"/>
  <c r="Y327" s="1"/>
  <c r="M13" i="68"/>
  <c r="Q326" i="84"/>
  <c r="Q327" s="1"/>
  <c r="E18" i="75"/>
  <c r="M9" i="68"/>
  <c r="E9" i="75"/>
  <c r="Y323" i="84"/>
  <c r="Y324" s="1"/>
  <c r="E13" i="68"/>
  <c r="E7" i="75"/>
  <c r="Q323" i="84"/>
  <c r="Q324" s="1"/>
  <c r="E9" i="68"/>
  <c r="E176" i="67"/>
  <c r="E214"/>
  <c r="E10" i="75"/>
  <c r="AC323" i="84"/>
  <c r="AC324" s="1"/>
  <c r="E15" i="68"/>
  <c r="F15" s="1"/>
  <c r="E10" i="61"/>
  <c r="E215" i="64"/>
  <c r="E176"/>
  <c r="C109"/>
  <c r="C176" s="1"/>
  <c r="C50"/>
  <c r="C215" s="1"/>
  <c r="C10"/>
  <c r="D215" i="65"/>
  <c r="F215" s="1"/>
  <c r="C213"/>
  <c r="C176"/>
  <c r="C208" s="1"/>
  <c r="D214"/>
  <c r="E231"/>
  <c r="E88"/>
  <c r="C224"/>
  <c r="C222" s="1"/>
  <c r="C221" s="1"/>
  <c r="C220" s="1"/>
  <c r="C73"/>
  <c r="C72" s="1"/>
  <c r="C71" s="1"/>
  <c r="C101" s="1"/>
  <c r="C102" s="1"/>
  <c r="C214" i="66"/>
  <c r="C213"/>
  <c r="E73"/>
  <c r="E224"/>
  <c r="C224"/>
  <c r="C222" s="1"/>
  <c r="C221" s="1"/>
  <c r="C73"/>
  <c r="C72" s="1"/>
  <c r="C71" s="1"/>
  <c r="C231"/>
  <c r="C229" s="1"/>
  <c r="C228" s="1"/>
  <c r="C88"/>
  <c r="C87" s="1"/>
  <c r="C86" s="1"/>
  <c r="C208" i="67"/>
  <c r="C214"/>
  <c r="C213" s="1"/>
  <c r="C79"/>
  <c r="C73" s="1"/>
  <c r="C72" s="1"/>
  <c r="C71" s="1"/>
  <c r="C101" s="1"/>
  <c r="C102" s="1"/>
  <c r="D70"/>
  <c r="F70" s="1"/>
  <c r="E231"/>
  <c r="E229" s="1"/>
  <c r="E228" s="1"/>
  <c r="E88"/>
  <c r="E87" s="1"/>
  <c r="E86" s="1"/>
  <c r="E213" i="97"/>
  <c r="C213"/>
  <c r="C70"/>
  <c r="C79"/>
  <c r="C73" s="1"/>
  <c r="C72" s="1"/>
  <c r="C71" s="1"/>
  <c r="C231"/>
  <c r="C229" s="1"/>
  <c r="C228" s="1"/>
  <c r="C88"/>
  <c r="C87" s="1"/>
  <c r="C86" s="1"/>
  <c r="E73"/>
  <c r="E224"/>
  <c r="C224"/>
  <c r="C222" s="1"/>
  <c r="C221" s="1"/>
  <c r="E94" i="109"/>
  <c r="C94"/>
  <c r="C88" s="1"/>
  <c r="C87" s="1"/>
  <c r="C86" s="1"/>
  <c r="E70"/>
  <c r="C176"/>
  <c r="C208" s="1"/>
  <c r="C214"/>
  <c r="C213" s="1"/>
  <c r="D176"/>
  <c r="D214"/>
  <c r="C231"/>
  <c r="C229" s="1"/>
  <c r="C228" s="1"/>
  <c r="C73"/>
  <c r="C72" s="1"/>
  <c r="C71" s="1"/>
  <c r="C224"/>
  <c r="C222" s="1"/>
  <c r="C221" s="1"/>
  <c r="N9" i="69" l="1"/>
  <c r="H73" i="76"/>
  <c r="I84" i="70"/>
  <c r="O84"/>
  <c r="F13" i="75"/>
  <c r="D8" i="69"/>
  <c r="F8" s="1"/>
  <c r="F13"/>
  <c r="H58" i="76"/>
  <c r="F12" i="75"/>
  <c r="H25" i="76"/>
  <c r="E214" i="64"/>
  <c r="F11" i="75"/>
  <c r="F50" i="61"/>
  <c r="F50" i="76"/>
  <c r="H50" s="1"/>
  <c r="F101"/>
  <c r="F229"/>
  <c r="F228" s="1"/>
  <c r="E19" i="69"/>
  <c r="F20"/>
  <c r="G228" i="76"/>
  <c r="G87"/>
  <c r="H88"/>
  <c r="E15" i="75"/>
  <c r="F87" i="61"/>
  <c r="E86"/>
  <c r="F222" i="76"/>
  <c r="F221" s="1"/>
  <c r="H224"/>
  <c r="M16" i="68"/>
  <c r="N16" s="1"/>
  <c r="AG326" i="84"/>
  <c r="AG327" s="1"/>
  <c r="H12" i="76"/>
  <c r="D7" i="75"/>
  <c r="D16" s="1"/>
  <c r="D9" i="68"/>
  <c r="F9" s="1"/>
  <c r="F11" i="61"/>
  <c r="R323" i="84" s="1"/>
  <c r="R324" s="1"/>
  <c r="F11" i="76"/>
  <c r="F10" s="1"/>
  <c r="E70" i="64"/>
  <c r="D10"/>
  <c r="F10" s="1"/>
  <c r="F11"/>
  <c r="E26" i="75"/>
  <c r="F178" i="61"/>
  <c r="E177"/>
  <c r="G178" i="76"/>
  <c r="H179"/>
  <c r="M19" i="68"/>
  <c r="N20"/>
  <c r="G225" i="76"/>
  <c r="H225" s="1"/>
  <c r="H227"/>
  <c r="F25" i="75"/>
  <c r="D176" i="64"/>
  <c r="F176" s="1"/>
  <c r="F132" i="61"/>
  <c r="AH326" i="84" s="1"/>
  <c r="AH327" s="1"/>
  <c r="G132" i="76"/>
  <c r="G109" s="1"/>
  <c r="G176" s="1"/>
  <c r="E109" i="61"/>
  <c r="E176" s="1"/>
  <c r="C176"/>
  <c r="F109" i="64"/>
  <c r="F21" i="75"/>
  <c r="H123" i="76"/>
  <c r="F70" i="65"/>
  <c r="E229"/>
  <c r="E87"/>
  <c r="D88"/>
  <c r="D231"/>
  <c r="F79"/>
  <c r="E213"/>
  <c r="E208"/>
  <c r="D208"/>
  <c r="F176"/>
  <c r="D213"/>
  <c r="F214"/>
  <c r="C86" i="70"/>
  <c r="M86" s="1"/>
  <c r="M71"/>
  <c r="G10" i="76"/>
  <c r="G70" s="1"/>
  <c r="H32"/>
  <c r="F70" i="66"/>
  <c r="F13" i="68"/>
  <c r="F94" i="66"/>
  <c r="F215"/>
  <c r="E231"/>
  <c r="E88"/>
  <c r="D231"/>
  <c r="D88"/>
  <c r="H110" i="76"/>
  <c r="E72" i="66"/>
  <c r="E222"/>
  <c r="E213"/>
  <c r="F214"/>
  <c r="E208"/>
  <c r="D72"/>
  <c r="F73"/>
  <c r="D224"/>
  <c r="F79"/>
  <c r="D213"/>
  <c r="D208"/>
  <c r="F176"/>
  <c r="F20" i="68"/>
  <c r="F9" i="75"/>
  <c r="D88" i="67"/>
  <c r="F88" s="1"/>
  <c r="D231"/>
  <c r="D229" s="1"/>
  <c r="D213"/>
  <c r="E73"/>
  <c r="E208"/>
  <c r="F214"/>
  <c r="E213"/>
  <c r="E224"/>
  <c r="D73"/>
  <c r="F79"/>
  <c r="F176"/>
  <c r="D208"/>
  <c r="G222" i="76"/>
  <c r="G72"/>
  <c r="G71" s="1"/>
  <c r="F10" i="61"/>
  <c r="E88" i="97"/>
  <c r="E231"/>
  <c r="H150" i="76"/>
  <c r="F94" i="97"/>
  <c r="F215"/>
  <c r="D231"/>
  <c r="D88"/>
  <c r="E208"/>
  <c r="E72"/>
  <c r="E222"/>
  <c r="D208"/>
  <c r="F176"/>
  <c r="D73"/>
  <c r="F79"/>
  <c r="D224"/>
  <c r="D213"/>
  <c r="F213" s="1"/>
  <c r="H86" i="70"/>
  <c r="I71"/>
  <c r="O71"/>
  <c r="F72" i="61"/>
  <c r="E14" i="75"/>
  <c r="E71" i="61"/>
  <c r="N11" i="69"/>
  <c r="D88" i="109"/>
  <c r="D87" s="1"/>
  <c r="F24" i="75"/>
  <c r="F215" i="109"/>
  <c r="L8" i="69"/>
  <c r="N8" s="1"/>
  <c r="E231" i="109"/>
  <c r="E199" i="64"/>
  <c r="F23" i="75"/>
  <c r="F149" i="61"/>
  <c r="E88" i="109"/>
  <c r="E213"/>
  <c r="F94"/>
  <c r="D199" i="64"/>
  <c r="F149" i="76"/>
  <c r="D229" i="109"/>
  <c r="F22" i="75"/>
  <c r="E208" i="109"/>
  <c r="F79"/>
  <c r="E184" i="64"/>
  <c r="H116" i="76"/>
  <c r="N13" i="68"/>
  <c r="F20" i="75"/>
  <c r="E222" i="109"/>
  <c r="E73"/>
  <c r="K79"/>
  <c r="F18" i="75"/>
  <c r="N9" i="68"/>
  <c r="F109" i="61"/>
  <c r="D208" i="109"/>
  <c r="F176"/>
  <c r="D213"/>
  <c r="F214"/>
  <c r="F109" i="76"/>
  <c r="K35" i="69"/>
  <c r="E70" i="61"/>
  <c r="C101"/>
  <c r="E176" i="76"/>
  <c r="E208" s="1"/>
  <c r="L103" s="1"/>
  <c r="G215"/>
  <c r="D184" i="64"/>
  <c r="D73" i="65"/>
  <c r="D224"/>
  <c r="D176" i="61"/>
  <c r="L35" i="69"/>
  <c r="D101" i="61"/>
  <c r="J141" i="85"/>
  <c r="T141" s="1"/>
  <c r="D70" i="61"/>
  <c r="C34" i="69"/>
  <c r="C33"/>
  <c r="C207" i="61"/>
  <c r="O71" i="85"/>
  <c r="C35" i="69"/>
  <c r="C16" i="75"/>
  <c r="C29" s="1"/>
  <c r="C30" s="1"/>
  <c r="K34" i="69"/>
  <c r="K33"/>
  <c r="E102" i="76"/>
  <c r="E213"/>
  <c r="E244"/>
  <c r="D28" i="75"/>
  <c r="C70" i="61"/>
  <c r="C102" s="1"/>
  <c r="C38" i="69" s="1"/>
  <c r="E73" i="65"/>
  <c r="E34" i="69"/>
  <c r="M34"/>
  <c r="M33"/>
  <c r="E224" i="65"/>
  <c r="C214" i="64"/>
  <c r="C213" s="1"/>
  <c r="C70"/>
  <c r="C101" i="66"/>
  <c r="C102" s="1"/>
  <c r="C220"/>
  <c r="D224" i="67"/>
  <c r="C224"/>
  <c r="C222" s="1"/>
  <c r="C221" s="1"/>
  <c r="C220" s="1"/>
  <c r="C220" i="97"/>
  <c r="C101"/>
  <c r="C102" s="1"/>
  <c r="C101" i="109"/>
  <c r="C102" s="1"/>
  <c r="C220"/>
  <c r="D73"/>
  <c r="D224"/>
  <c r="G27" i="121" l="1"/>
  <c r="H27" s="1"/>
  <c r="G22" i="122"/>
  <c r="K10" i="129"/>
  <c r="O10"/>
  <c r="G245" i="76"/>
  <c r="E16" i="75"/>
  <c r="D33" i="69"/>
  <c r="E213" i="64"/>
  <c r="F220" i="76"/>
  <c r="H228"/>
  <c r="H229"/>
  <c r="I211" i="85"/>
  <c r="I281" s="1"/>
  <c r="F86" i="61"/>
  <c r="E18" i="69"/>
  <c r="F19"/>
  <c r="G86" i="76"/>
  <c r="H86" s="1"/>
  <c r="H87"/>
  <c r="F15" i="75"/>
  <c r="E101" i="61"/>
  <c r="F7" i="75"/>
  <c r="H11" i="76"/>
  <c r="D214" i="64"/>
  <c r="F214" s="1"/>
  <c r="F177" i="61"/>
  <c r="O211" i="85"/>
  <c r="E207" i="61"/>
  <c r="G177" i="76"/>
  <c r="H178"/>
  <c r="F26" i="75"/>
  <c r="M18" i="68"/>
  <c r="N18" s="1"/>
  <c r="N19"/>
  <c r="E28" i="75"/>
  <c r="H132" i="76"/>
  <c r="C208" i="61"/>
  <c r="J176" s="1"/>
  <c r="F211" i="85"/>
  <c r="F281" s="1"/>
  <c r="E86" i="65"/>
  <c r="E228"/>
  <c r="D229"/>
  <c r="F231"/>
  <c r="D87"/>
  <c r="F88"/>
  <c r="E222"/>
  <c r="E72"/>
  <c r="F208"/>
  <c r="F213"/>
  <c r="D222"/>
  <c r="F224"/>
  <c r="D72"/>
  <c r="F73"/>
  <c r="I86" i="70"/>
  <c r="H72" i="76"/>
  <c r="H10"/>
  <c r="E229" i="66"/>
  <c r="E87"/>
  <c r="D87"/>
  <c r="F88"/>
  <c r="D229"/>
  <c r="F231"/>
  <c r="F213"/>
  <c r="F208"/>
  <c r="E221"/>
  <c r="E71"/>
  <c r="D71"/>
  <c r="F72"/>
  <c r="D222"/>
  <c r="F224"/>
  <c r="G287" i="120"/>
  <c r="H287" s="1"/>
  <c r="K6" i="129"/>
  <c r="L6" s="1"/>
  <c r="F213" i="67"/>
  <c r="F70" i="76"/>
  <c r="H70" s="1"/>
  <c r="F231" i="67"/>
  <c r="D87"/>
  <c r="D86" s="1"/>
  <c r="F86" s="1"/>
  <c r="D228"/>
  <c r="F228" s="1"/>
  <c r="F229"/>
  <c r="G214" i="76"/>
  <c r="F208" i="67"/>
  <c r="E72"/>
  <c r="E222"/>
  <c r="D72"/>
  <c r="F73"/>
  <c r="D222"/>
  <c r="F224"/>
  <c r="H222" i="76"/>
  <c r="G221"/>
  <c r="F70" i="61"/>
  <c r="E87" i="97"/>
  <c r="E229"/>
  <c r="F199" i="64"/>
  <c r="F231" i="97"/>
  <c r="F88"/>
  <c r="D229"/>
  <c r="D87"/>
  <c r="D86" s="1"/>
  <c r="E71"/>
  <c r="E221"/>
  <c r="F208"/>
  <c r="D72"/>
  <c r="F73"/>
  <c r="D222"/>
  <c r="F224"/>
  <c r="O86" i="70"/>
  <c r="F14" i="75"/>
  <c r="F71" i="61"/>
  <c r="H71" i="76"/>
  <c r="G101"/>
  <c r="H101" s="1"/>
  <c r="F88" i="109"/>
  <c r="G271" i="119"/>
  <c r="H271" s="1"/>
  <c r="K7" i="129"/>
  <c r="L7" s="1"/>
  <c r="F213" i="109"/>
  <c r="L33" i="69"/>
  <c r="N33" s="1"/>
  <c r="N37" s="1"/>
  <c r="N39" s="1"/>
  <c r="D34"/>
  <c r="F34" s="1"/>
  <c r="L34"/>
  <c r="N34" s="1"/>
  <c r="E229" i="109"/>
  <c r="E87"/>
  <c r="F87" s="1"/>
  <c r="F231"/>
  <c r="H149" i="76"/>
  <c r="F215"/>
  <c r="D86" i="109"/>
  <c r="D228"/>
  <c r="H109" i="76"/>
  <c r="F208" i="109"/>
  <c r="F176" i="76"/>
  <c r="H176" s="1"/>
  <c r="F184" i="64"/>
  <c r="F214" i="76"/>
  <c r="E72" i="109"/>
  <c r="E208" i="61"/>
  <c r="E221" i="109"/>
  <c r="D72"/>
  <c r="F73"/>
  <c r="D222"/>
  <c r="F224"/>
  <c r="D208" i="61"/>
  <c r="K176" s="1"/>
  <c r="F176"/>
  <c r="D102"/>
  <c r="K70" s="1"/>
  <c r="D29" i="75"/>
  <c r="I22" i="122" l="1"/>
  <c r="H22"/>
  <c r="F16" i="75"/>
  <c r="K9" i="129"/>
  <c r="L9" s="1"/>
  <c r="E102" i="61"/>
  <c r="L101" s="1"/>
  <c r="F101"/>
  <c r="F28" i="75"/>
  <c r="F18" i="69"/>
  <c r="E33"/>
  <c r="F33" s="1"/>
  <c r="F37" s="1"/>
  <c r="F39" s="1"/>
  <c r="M35"/>
  <c r="N35" s="1"/>
  <c r="E35"/>
  <c r="F35" s="1"/>
  <c r="G37" i="122"/>
  <c r="H37" s="1"/>
  <c r="G244" i="76"/>
  <c r="S211" i="85"/>
  <c r="S281" s="1"/>
  <c r="O281"/>
  <c r="G45" i="121"/>
  <c r="H45" s="1"/>
  <c r="L10" i="129"/>
  <c r="F207" i="61"/>
  <c r="G207" i="76"/>
  <c r="H177"/>
  <c r="E29" i="75"/>
  <c r="F29" s="1"/>
  <c r="K38" i="69"/>
  <c r="J208" i="61"/>
  <c r="J149"/>
  <c r="J159"/>
  <c r="J150"/>
  <c r="J123"/>
  <c r="J110"/>
  <c r="J177"/>
  <c r="J165"/>
  <c r="J192"/>
  <c r="J114"/>
  <c r="J193"/>
  <c r="J116"/>
  <c r="J207"/>
  <c r="J178"/>
  <c r="J132"/>
  <c r="J109"/>
  <c r="J211" i="85"/>
  <c r="J281" s="1"/>
  <c r="D228" i="65"/>
  <c r="F228" s="1"/>
  <c r="F229"/>
  <c r="D86"/>
  <c r="F86" s="1"/>
  <c r="F87"/>
  <c r="E71"/>
  <c r="E221"/>
  <c r="D71"/>
  <c r="F72"/>
  <c r="D221"/>
  <c r="F222"/>
  <c r="E86" i="66"/>
  <c r="E228"/>
  <c r="D228"/>
  <c r="F229"/>
  <c r="D86"/>
  <c r="F87"/>
  <c r="E101"/>
  <c r="E220"/>
  <c r="F71"/>
  <c r="D221"/>
  <c r="F222"/>
  <c r="F102" i="76"/>
  <c r="F87" i="67"/>
  <c r="G213" i="76"/>
  <c r="E221" i="67"/>
  <c r="E71"/>
  <c r="H214" i="76"/>
  <c r="D71" i="67"/>
  <c r="F72"/>
  <c r="D221"/>
  <c r="F222"/>
  <c r="H221" i="76"/>
  <c r="G220"/>
  <c r="H220" s="1"/>
  <c r="D38" i="69"/>
  <c r="K50" i="61"/>
  <c r="K44"/>
  <c r="K101"/>
  <c r="K87"/>
  <c r="K72"/>
  <c r="K32"/>
  <c r="K71"/>
  <c r="K102"/>
  <c r="K51"/>
  <c r="K17"/>
  <c r="K64"/>
  <c r="K58"/>
  <c r="K86"/>
  <c r="K11"/>
  <c r="K25"/>
  <c r="K10"/>
  <c r="E86" i="97"/>
  <c r="E228"/>
  <c r="F229"/>
  <c r="D228"/>
  <c r="F87"/>
  <c r="E220"/>
  <c r="D221"/>
  <c r="F222"/>
  <c r="D71"/>
  <c r="F72"/>
  <c r="G102" i="76"/>
  <c r="F86" i="109"/>
  <c r="E228"/>
  <c r="E86"/>
  <c r="F229"/>
  <c r="H215" i="76"/>
  <c r="F245"/>
  <c r="F208"/>
  <c r="F213"/>
  <c r="F244"/>
  <c r="E71" i="109"/>
  <c r="M38" i="69"/>
  <c r="L192" i="61"/>
  <c r="L178"/>
  <c r="L116"/>
  <c r="L123"/>
  <c r="L150"/>
  <c r="L207"/>
  <c r="L193"/>
  <c r="L132"/>
  <c r="L114"/>
  <c r="L177"/>
  <c r="L165"/>
  <c r="L159"/>
  <c r="L208"/>
  <c r="L149"/>
  <c r="L110"/>
  <c r="L109"/>
  <c r="L176"/>
  <c r="D71" i="109"/>
  <c r="F72"/>
  <c r="D221"/>
  <c r="F222"/>
  <c r="L38" i="69"/>
  <c r="K116" i="61"/>
  <c r="F208"/>
  <c r="S284" i="85" s="1"/>
  <c r="K178" i="61"/>
  <c r="K207"/>
  <c r="K192"/>
  <c r="K159"/>
  <c r="K149"/>
  <c r="K123"/>
  <c r="K208"/>
  <c r="K165"/>
  <c r="K114"/>
  <c r="K177"/>
  <c r="K193"/>
  <c r="K150"/>
  <c r="K132"/>
  <c r="K110"/>
  <c r="K109"/>
  <c r="D30" i="75"/>
  <c r="H132" i="91"/>
  <c r="I132" s="1"/>
  <c r="F100"/>
  <c r="F126"/>
  <c r="F122"/>
  <c r="F120"/>
  <c r="F108"/>
  <c r="F55"/>
  <c r="F53"/>
  <c r="F22"/>
  <c r="F12"/>
  <c r="J42" i="78"/>
  <c r="J43" s="1"/>
  <c r="J37"/>
  <c r="J33"/>
  <c r="J34" s="1"/>
  <c r="B17"/>
  <c r="J17" s="1"/>
  <c r="J15"/>
  <c r="I15"/>
  <c r="B14"/>
  <c r="J14" s="1"/>
  <c r="B13"/>
  <c r="J13" s="1"/>
  <c r="L51" i="61" l="1"/>
  <c r="F102"/>
  <c r="L71"/>
  <c r="L70"/>
  <c r="L86"/>
  <c r="L102"/>
  <c r="L10"/>
  <c r="L11"/>
  <c r="L64"/>
  <c r="L72"/>
  <c r="L44"/>
  <c r="E38" i="69"/>
  <c r="L50" i="61"/>
  <c r="L87"/>
  <c r="L32"/>
  <c r="L58"/>
  <c r="L17"/>
  <c r="L25"/>
  <c r="E30" i="75"/>
  <c r="H207" i="76"/>
  <c r="G208"/>
  <c r="H208" s="1"/>
  <c r="T211" i="85"/>
  <c r="T281" s="1"/>
  <c r="E220" i="65"/>
  <c r="E101"/>
  <c r="F221"/>
  <c r="D220"/>
  <c r="D101"/>
  <c r="F71"/>
  <c r="F228" i="66"/>
  <c r="F86"/>
  <c r="D101"/>
  <c r="F101" s="1"/>
  <c r="E102"/>
  <c r="F221"/>
  <c r="D220"/>
  <c r="F220" s="1"/>
  <c r="E220" i="67"/>
  <c r="E101"/>
  <c r="H213" i="76"/>
  <c r="D220" i="67"/>
  <c r="F221"/>
  <c r="F71"/>
  <c r="D101"/>
  <c r="E101" i="97"/>
  <c r="F86"/>
  <c r="F228"/>
  <c r="F71"/>
  <c r="D101"/>
  <c r="F221"/>
  <c r="D220"/>
  <c r="F220" s="1"/>
  <c r="H102" i="76"/>
  <c r="N103"/>
  <c r="F228" i="109"/>
  <c r="E220"/>
  <c r="M103" i="76"/>
  <c r="E101" i="109"/>
  <c r="D220"/>
  <c r="F221"/>
  <c r="D101"/>
  <c r="F71"/>
  <c r="T252" i="116"/>
  <c r="S252"/>
  <c r="R252"/>
  <c r="R235" s="1"/>
  <c r="R241" s="1"/>
  <c r="M252"/>
  <c r="I252"/>
  <c r="I235" s="1"/>
  <c r="I241" s="1"/>
  <c r="H252"/>
  <c r="H235" s="1"/>
  <c r="H241" s="1"/>
  <c r="G252"/>
  <c r="G235" s="1"/>
  <c r="G241" s="1"/>
  <c r="T235"/>
  <c r="T241" s="1"/>
  <c r="S235"/>
  <c r="S241" s="1"/>
  <c r="M235"/>
  <c r="M241" s="1"/>
  <c r="T277"/>
  <c r="T260" s="1"/>
  <c r="T266" s="1"/>
  <c r="S277"/>
  <c r="S260" s="1"/>
  <c r="S266" s="1"/>
  <c r="R277"/>
  <c r="R260" s="1"/>
  <c r="R266" s="1"/>
  <c r="M277"/>
  <c r="M260" s="1"/>
  <c r="M266" s="1"/>
  <c r="I277"/>
  <c r="I260" s="1"/>
  <c r="I266" s="1"/>
  <c r="H277"/>
  <c r="H260" s="1"/>
  <c r="H266" s="1"/>
  <c r="G277"/>
  <c r="G260" s="1"/>
  <c r="G266" s="1"/>
  <c r="B277"/>
  <c r="B260" s="1"/>
  <c r="B266" s="1"/>
  <c r="T177"/>
  <c r="T160" s="1"/>
  <c r="T166" s="1"/>
  <c r="S177"/>
  <c r="S160" s="1"/>
  <c r="S166" s="1"/>
  <c r="R177"/>
  <c r="R160" s="1"/>
  <c r="R166" s="1"/>
  <c r="M177"/>
  <c r="M160" s="1"/>
  <c r="M166" s="1"/>
  <c r="I177"/>
  <c r="I160" s="1"/>
  <c r="I166" s="1"/>
  <c r="H177"/>
  <c r="H160" s="1"/>
  <c r="H166" s="1"/>
  <c r="G177"/>
  <c r="G160" s="1"/>
  <c r="G166" s="1"/>
  <c r="B177"/>
  <c r="B160" s="1"/>
  <c r="B166" s="1"/>
  <c r="T202"/>
  <c r="T185" s="1"/>
  <c r="T191" s="1"/>
  <c r="S202"/>
  <c r="S185" s="1"/>
  <c r="S191" s="1"/>
  <c r="R202"/>
  <c r="R185" s="1"/>
  <c r="R191" s="1"/>
  <c r="M202"/>
  <c r="M185" s="1"/>
  <c r="M191" s="1"/>
  <c r="I202"/>
  <c r="I185" s="1"/>
  <c r="I191" s="1"/>
  <c r="H202"/>
  <c r="H185" s="1"/>
  <c r="H191" s="1"/>
  <c r="G202"/>
  <c r="G185" s="1"/>
  <c r="G191" s="1"/>
  <c r="B202"/>
  <c r="B185" s="1"/>
  <c r="B191" s="1"/>
  <c r="T227"/>
  <c r="T210" s="1"/>
  <c r="T216" s="1"/>
  <c r="S227"/>
  <c r="R227"/>
  <c r="R210" s="1"/>
  <c r="R216" s="1"/>
  <c r="M227"/>
  <c r="M210" s="1"/>
  <c r="M216" s="1"/>
  <c r="I227"/>
  <c r="I210" s="1"/>
  <c r="I216" s="1"/>
  <c r="H227"/>
  <c r="H210" s="1"/>
  <c r="H216" s="1"/>
  <c r="G227"/>
  <c r="G210" s="1"/>
  <c r="G216" s="1"/>
  <c r="B227"/>
  <c r="B210" s="1"/>
  <c r="B216" s="1"/>
  <c r="S210"/>
  <c r="S216" s="1"/>
  <c r="T302"/>
  <c r="T285" s="1"/>
  <c r="T291" s="1"/>
  <c r="S302"/>
  <c r="S285" s="1"/>
  <c r="S291" s="1"/>
  <c r="R302"/>
  <c r="R285" s="1"/>
  <c r="R291" s="1"/>
  <c r="M302"/>
  <c r="M285" s="1"/>
  <c r="M291" s="1"/>
  <c r="I302"/>
  <c r="I285" s="1"/>
  <c r="I291" s="1"/>
  <c r="H302"/>
  <c r="H285" s="1"/>
  <c r="H291" s="1"/>
  <c r="G302"/>
  <c r="G285" s="1"/>
  <c r="G291" s="1"/>
  <c r="B302"/>
  <c r="B285" s="1"/>
  <c r="B291" s="1"/>
  <c r="F30" i="75" l="1"/>
  <c r="E102" i="65"/>
  <c r="F220"/>
  <c r="D102"/>
  <c r="F101"/>
  <c r="D102" i="66"/>
  <c r="F102" s="1"/>
  <c r="E102" i="67"/>
  <c r="F220"/>
  <c r="D102"/>
  <c r="F101"/>
  <c r="E102" i="97"/>
  <c r="D102"/>
  <c r="F101"/>
  <c r="F220" i="109"/>
  <c r="E102"/>
  <c r="D102"/>
  <c r="F101"/>
  <c r="H23" i="72"/>
  <c r="G23"/>
  <c r="K42" i="73"/>
  <c r="J42"/>
  <c r="I42"/>
  <c r="D42"/>
  <c r="K44"/>
  <c r="D44"/>
  <c r="F102" i="65" l="1"/>
  <c r="F102" i="67"/>
  <c r="F102" i="97"/>
  <c r="F102" i="109"/>
  <c r="L44" i="73"/>
  <c r="C146" i="76"/>
  <c r="C132" s="1"/>
  <c r="C11"/>
  <c r="C12"/>
  <c r="C25"/>
  <c r="C32"/>
  <c r="C44"/>
  <c r="C51"/>
  <c r="C58"/>
  <c r="C64"/>
  <c r="C73"/>
  <c r="C72" s="1"/>
  <c r="C71" s="1"/>
  <c r="C88"/>
  <c r="C87" s="1"/>
  <c r="C86" s="1"/>
  <c r="C110"/>
  <c r="C116"/>
  <c r="C123"/>
  <c r="C150"/>
  <c r="C159"/>
  <c r="C165"/>
  <c r="C149" s="1"/>
  <c r="C179"/>
  <c r="C178" s="1"/>
  <c r="C177" s="1"/>
  <c r="C194"/>
  <c r="C193" s="1"/>
  <c r="C192" s="1"/>
  <c r="C223"/>
  <c r="C224"/>
  <c r="C226"/>
  <c r="C227"/>
  <c r="C225" s="1"/>
  <c r="C230"/>
  <c r="C231"/>
  <c r="C233"/>
  <c r="C234"/>
  <c r="C232" l="1"/>
  <c r="C222"/>
  <c r="C221" s="1"/>
  <c r="C207"/>
  <c r="C101"/>
  <c r="C229"/>
  <c r="C50"/>
  <c r="C215" s="1"/>
  <c r="C10"/>
  <c r="C109"/>
  <c r="C176" s="1"/>
  <c r="C228" l="1"/>
  <c r="C245" s="1"/>
  <c r="C208"/>
  <c r="C70"/>
  <c r="C102" s="1"/>
  <c r="C214"/>
  <c r="C244" s="1"/>
  <c r="C220" l="1"/>
  <c r="C213"/>
  <c r="F128" i="91" l="1"/>
  <c r="F104"/>
  <c r="H130" l="1"/>
  <c r="I130" s="1"/>
  <c r="H120" l="1"/>
  <c r="H104"/>
  <c r="F73"/>
  <c r="F90"/>
  <c r="H93"/>
  <c r="I93" s="1"/>
  <c r="F88"/>
  <c r="F87"/>
  <c r="H27"/>
  <c r="I27" s="1"/>
  <c r="H128"/>
  <c r="I128" s="1"/>
  <c r="H126"/>
  <c r="I126" s="1"/>
  <c r="H124"/>
  <c r="I124" s="1"/>
  <c r="H122"/>
  <c r="I122" s="1"/>
  <c r="H118"/>
  <c r="I118" s="1"/>
  <c r="I116"/>
  <c r="H116"/>
  <c r="H114"/>
  <c r="I114" s="1"/>
  <c r="H112"/>
  <c r="I112" s="1"/>
  <c r="H110"/>
  <c r="I110" s="1"/>
  <c r="H108"/>
  <c r="I108" s="1"/>
  <c r="H106"/>
  <c r="I106" s="1"/>
  <c r="H102"/>
  <c r="I102" s="1"/>
  <c r="H97"/>
  <c r="I97" s="1"/>
  <c r="H78"/>
  <c r="H95"/>
  <c r="I95" s="1"/>
  <c r="F91"/>
  <c r="F67"/>
  <c r="F66"/>
  <c r="F65" l="1"/>
  <c r="H70"/>
  <c r="I70" s="1"/>
  <c r="H68"/>
  <c r="I68" s="1"/>
  <c r="H67"/>
  <c r="H66"/>
  <c r="F59" l="1"/>
  <c r="F51"/>
  <c r="F46"/>
  <c r="F26"/>
  <c r="F7"/>
  <c r="F5" s="1"/>
  <c r="H29"/>
  <c r="I29" s="1"/>
  <c r="I120"/>
  <c r="F92"/>
  <c r="H91"/>
  <c r="I91" s="1"/>
  <c r="H88"/>
  <c r="H87"/>
  <c r="F83"/>
  <c r="H83" s="1"/>
  <c r="H80"/>
  <c r="H75"/>
  <c r="H57"/>
  <c r="I57" s="1"/>
  <c r="H55"/>
  <c r="I55" s="1"/>
  <c r="H53"/>
  <c r="I53" s="1"/>
  <c r="H49"/>
  <c r="I49" s="1"/>
  <c r="H47"/>
  <c r="I47" s="1"/>
  <c r="H44"/>
  <c r="I44" s="1"/>
  <c r="H43"/>
  <c r="I43" s="1"/>
  <c r="F42"/>
  <c r="F37" s="1"/>
  <c r="H41"/>
  <c r="I41" s="1"/>
  <c r="H40"/>
  <c r="I40" s="1"/>
  <c r="H39"/>
  <c r="I39" s="1"/>
  <c r="H34"/>
  <c r="I34" s="1"/>
  <c r="H31"/>
  <c r="I31" s="1"/>
  <c r="H24"/>
  <c r="I24" s="1"/>
  <c r="H22"/>
  <c r="I22" s="1"/>
  <c r="H20"/>
  <c r="I20" s="1"/>
  <c r="H18"/>
  <c r="I18" s="1"/>
  <c r="H16"/>
  <c r="I16" s="1"/>
  <c r="H14"/>
  <c r="I14" s="1"/>
  <c r="H12"/>
  <c r="I12" s="1"/>
  <c r="H10"/>
  <c r="I10" s="1"/>
  <c r="H92" l="1"/>
  <c r="I92" s="1"/>
  <c r="I88"/>
  <c r="H42"/>
  <c r="I42" s="1"/>
  <c r="F86"/>
  <c r="I83"/>
  <c r="I87"/>
  <c r="AH22" i="85" l="1"/>
  <c r="AH35" l="1"/>
  <c r="AH11"/>
  <c r="I115" i="78" l="1"/>
  <c r="D115"/>
  <c r="B115"/>
  <c r="J115"/>
  <c r="I89"/>
  <c r="D89"/>
  <c r="B89"/>
  <c r="J89"/>
  <c r="K16" i="72"/>
  <c r="K26"/>
  <c r="K36" l="1"/>
  <c r="D13" i="73" l="1"/>
  <c r="I77" i="78" l="1"/>
  <c r="D77"/>
  <c r="I39"/>
  <c r="D39"/>
  <c r="B39"/>
  <c r="I86"/>
  <c r="D86"/>
  <c r="B86"/>
  <c r="J39" l="1"/>
  <c r="B77"/>
  <c r="M127" i="116" l="1"/>
  <c r="M110" s="1"/>
  <c r="M116" s="1"/>
  <c r="I327"/>
  <c r="I310" s="1"/>
  <c r="I316" s="1"/>
  <c r="H327"/>
  <c r="H310" s="1"/>
  <c r="H316" s="1"/>
  <c r="B327"/>
  <c r="B310" s="1"/>
  <c r="G327"/>
  <c r="G310" s="1"/>
  <c r="G316" s="1"/>
  <c r="M152"/>
  <c r="M135" s="1"/>
  <c r="M141" s="1"/>
  <c r="T152"/>
  <c r="T135" s="1"/>
  <c r="T141" s="1"/>
  <c r="S152"/>
  <c r="S135" s="1"/>
  <c r="S141" s="1"/>
  <c r="R152"/>
  <c r="R135" s="1"/>
  <c r="R141" s="1"/>
  <c r="G152"/>
  <c r="G135" s="1"/>
  <c r="G141" s="1"/>
  <c r="B152"/>
  <c r="B135" s="1"/>
  <c r="B141" s="1"/>
  <c r="I152"/>
  <c r="I135" s="1"/>
  <c r="I141" s="1"/>
  <c r="H152"/>
  <c r="H135" s="1"/>
  <c r="H141" s="1"/>
  <c r="T127"/>
  <c r="T110" s="1"/>
  <c r="T116" s="1"/>
  <c r="S127"/>
  <c r="S110" s="1"/>
  <c r="S116" s="1"/>
  <c r="R127"/>
  <c r="R110" s="1"/>
  <c r="R116" s="1"/>
  <c r="I127"/>
  <c r="I110" s="1"/>
  <c r="I116" s="1"/>
  <c r="H127"/>
  <c r="H110" s="1"/>
  <c r="H116" s="1"/>
  <c r="G127"/>
  <c r="G110" s="1"/>
  <c r="G116" s="1"/>
  <c r="T102"/>
  <c r="T85" s="1"/>
  <c r="T91" s="1"/>
  <c r="S102"/>
  <c r="S85" s="1"/>
  <c r="S91" s="1"/>
  <c r="R102"/>
  <c r="R85" s="1"/>
  <c r="R91" s="1"/>
  <c r="I102"/>
  <c r="I85" s="1"/>
  <c r="I91" s="1"/>
  <c r="H102"/>
  <c r="H85" s="1"/>
  <c r="H91" s="1"/>
  <c r="G102"/>
  <c r="G85" s="1"/>
  <c r="G91" s="1"/>
  <c r="M77"/>
  <c r="M60" s="1"/>
  <c r="M66" s="1"/>
  <c r="T77"/>
  <c r="T60" s="1"/>
  <c r="T66" s="1"/>
  <c r="S77"/>
  <c r="S60" s="1"/>
  <c r="S66" s="1"/>
  <c r="R77"/>
  <c r="R60" s="1"/>
  <c r="R66" s="1"/>
  <c r="B77"/>
  <c r="I77"/>
  <c r="I60" s="1"/>
  <c r="I66" s="1"/>
  <c r="H77"/>
  <c r="H60" s="1"/>
  <c r="H66" s="1"/>
  <c r="G77"/>
  <c r="G60" s="1"/>
  <c r="G66" s="1"/>
  <c r="T327"/>
  <c r="T310" s="1"/>
  <c r="S327"/>
  <c r="S310" s="1"/>
  <c r="R327"/>
  <c r="R310" s="1"/>
  <c r="M327"/>
  <c r="M310" s="1"/>
  <c r="T52"/>
  <c r="T35" s="1"/>
  <c r="T41" s="1"/>
  <c r="S52"/>
  <c r="S35" s="1"/>
  <c r="S41" s="1"/>
  <c r="R52"/>
  <c r="R35" s="1"/>
  <c r="R41" s="1"/>
  <c r="I52"/>
  <c r="I35" s="1"/>
  <c r="H52"/>
  <c r="H35" s="1"/>
  <c r="G52"/>
  <c r="G35" s="1"/>
  <c r="B52"/>
  <c r="B35" s="1"/>
  <c r="B316" l="1"/>
  <c r="M102"/>
  <c r="M85" s="1"/>
  <c r="M91" s="1"/>
  <c r="B60"/>
  <c r="B66" s="1"/>
  <c r="M52"/>
  <c r="M35" s="1"/>
  <c r="M41" s="1"/>
  <c r="B102"/>
  <c r="B85" s="1"/>
  <c r="B91" s="1"/>
  <c r="B127"/>
  <c r="B110" s="1"/>
  <c r="B116" s="1"/>
  <c r="I41" l="1"/>
  <c r="H41"/>
  <c r="G41"/>
  <c r="B41"/>
  <c r="I27" l="1"/>
  <c r="I10" s="1"/>
  <c r="I16" s="1"/>
  <c r="H27"/>
  <c r="H10" s="1"/>
  <c r="H16" s="1"/>
  <c r="G27"/>
  <c r="I335"/>
  <c r="H335"/>
  <c r="G335"/>
  <c r="B335"/>
  <c r="S316"/>
  <c r="M316"/>
  <c r="T316"/>
  <c r="T27"/>
  <c r="T10" s="1"/>
  <c r="T16" s="1"/>
  <c r="S27"/>
  <c r="S10" s="1"/>
  <c r="S16" s="1"/>
  <c r="R27"/>
  <c r="R10" s="1"/>
  <c r="R16" s="1"/>
  <c r="M27"/>
  <c r="M10" s="1"/>
  <c r="G10" l="1"/>
  <c r="G16" s="1"/>
  <c r="M16"/>
  <c r="B27"/>
  <c r="B10" s="1"/>
  <c r="B16" s="1"/>
  <c r="R316"/>
  <c r="W310" l="1"/>
  <c r="D23" i="89" l="1"/>
  <c r="D21"/>
  <c r="I20"/>
  <c r="A171" i="84" l="1"/>
  <c r="F36" i="90"/>
  <c r="E36"/>
  <c r="D36"/>
  <c r="F35"/>
  <c r="E35"/>
  <c r="D35"/>
  <c r="F34"/>
  <c r="E34"/>
  <c r="D34"/>
  <c r="F33"/>
  <c r="E33"/>
  <c r="D33"/>
  <c r="F32"/>
  <c r="E32"/>
  <c r="D32"/>
  <c r="F31"/>
  <c r="E31"/>
  <c r="D31"/>
  <c r="F30"/>
  <c r="E30"/>
  <c r="D30"/>
  <c r="F29"/>
  <c r="E29"/>
  <c r="D29"/>
  <c r="F28"/>
  <c r="E28"/>
  <c r="D28"/>
  <c r="F26"/>
  <c r="E26"/>
  <c r="D26"/>
  <c r="F25"/>
  <c r="E25"/>
  <c r="D25"/>
  <c r="F24"/>
  <c r="E24"/>
  <c r="D24"/>
  <c r="F23"/>
  <c r="E23"/>
  <c r="D23"/>
  <c r="F22"/>
  <c r="E22"/>
  <c r="D22"/>
  <c r="F21"/>
  <c r="E21"/>
  <c r="D21"/>
  <c r="F20"/>
  <c r="E20"/>
  <c r="D20"/>
  <c r="F19"/>
  <c r="E19"/>
  <c r="D19"/>
  <c r="F18"/>
  <c r="E18"/>
  <c r="D18"/>
  <c r="F14"/>
  <c r="E14"/>
  <c r="D14"/>
  <c r="F12"/>
  <c r="E12"/>
  <c r="D12"/>
  <c r="E11"/>
  <c r="D11"/>
  <c r="J16" i="72"/>
  <c r="J26"/>
  <c r="A172" i="84" l="1"/>
  <c r="J36" i="72"/>
  <c r="E17" i="90"/>
  <c r="D17"/>
  <c r="D27"/>
  <c r="F27"/>
  <c r="E27"/>
  <c r="F17"/>
  <c r="A173" i="84" l="1"/>
  <c r="F37" i="90"/>
  <c r="E37"/>
  <c r="D37"/>
  <c r="A174" i="84"/>
  <c r="A175" l="1"/>
  <c r="A176" l="1"/>
  <c r="AC5" i="75"/>
  <c r="AA5"/>
  <c r="Z5"/>
  <c r="AE9"/>
  <c r="A177" i="84" l="1"/>
  <c r="A178" l="1"/>
  <c r="A179" l="1"/>
  <c r="A180" l="1"/>
  <c r="A181" l="1"/>
  <c r="A182" l="1"/>
  <c r="A183" l="1"/>
  <c r="A184" l="1"/>
  <c r="A185" l="1"/>
  <c r="A186" l="1"/>
  <c r="A187" l="1"/>
  <c r="A188" l="1"/>
  <c r="A189" l="1"/>
  <c r="A190" l="1"/>
  <c r="A191" l="1"/>
  <c r="A192" l="1"/>
  <c r="A193" l="1"/>
  <c r="A194" l="1"/>
  <c r="A195" l="1"/>
  <c r="A196" l="1"/>
  <c r="A197" l="1"/>
  <c r="A198" l="1"/>
  <c r="A199" l="1"/>
  <c r="A200" l="1"/>
  <c r="A201" l="1"/>
  <c r="A202" l="1"/>
  <c r="A203" l="1"/>
  <c r="A204" l="1"/>
  <c r="A205" l="1"/>
  <c r="A206" l="1"/>
  <c r="A207" l="1"/>
  <c r="A208" l="1"/>
  <c r="A209" l="1"/>
  <c r="A210" l="1"/>
  <c r="A211" l="1"/>
  <c r="A212" l="1"/>
  <c r="A213" l="1"/>
  <c r="A214" l="1"/>
  <c r="A215" l="1"/>
  <c r="A216" l="1"/>
  <c r="A217" l="1"/>
  <c r="A218" l="1"/>
  <c r="A219" l="1"/>
  <c r="A220" l="1"/>
  <c r="A221" l="1"/>
  <c r="A222" l="1"/>
  <c r="A223" l="1"/>
  <c r="A224" l="1"/>
  <c r="A225" l="1"/>
  <c r="A226" l="1"/>
  <c r="A227" l="1"/>
  <c r="A228" l="1"/>
  <c r="A229" l="1"/>
  <c r="A230" l="1"/>
  <c r="A231" l="1"/>
  <c r="A232" l="1"/>
  <c r="A233" l="1"/>
  <c r="A234" l="1"/>
  <c r="J11" i="72"/>
  <c r="K11" s="1"/>
  <c r="L11" s="1"/>
  <c r="G14" i="79"/>
  <c r="A235" i="84" l="1"/>
  <c r="A236" s="1"/>
  <c r="A237" l="1"/>
  <c r="A238" l="1"/>
  <c r="A239" l="1"/>
  <c r="A240" l="1"/>
  <c r="A241" l="1"/>
  <c r="A242" l="1"/>
  <c r="A244" l="1"/>
  <c r="A245" l="1"/>
  <c r="A246" l="1"/>
  <c r="A247" l="1"/>
  <c r="A248" l="1"/>
  <c r="A249" l="1"/>
  <c r="A251" l="1"/>
  <c r="A255" l="1"/>
  <c r="A256" l="1"/>
  <c r="A257" l="1"/>
  <c r="A258" l="1"/>
  <c r="A259" l="1"/>
  <c r="A261" l="1"/>
  <c r="A262" l="1"/>
  <c r="A263" l="1"/>
  <c r="A265" l="1"/>
  <c r="A266" l="1"/>
  <c r="A267" l="1"/>
  <c r="A268" l="1"/>
  <c r="A269" l="1"/>
  <c r="A270" l="1"/>
  <c r="A271" l="1"/>
  <c r="A275" l="1"/>
  <c r="A276" l="1"/>
  <c r="A277" l="1"/>
  <c r="A278" l="1"/>
  <c r="A279" l="1"/>
  <c r="A280" l="1"/>
  <c r="A282" l="1"/>
  <c r="A284" l="1"/>
  <c r="A288" l="1"/>
  <c r="A289" l="1"/>
  <c r="A290" l="1"/>
  <c r="A291" l="1"/>
  <c r="A292" l="1"/>
  <c r="A294" l="1"/>
  <c r="A296" l="1"/>
  <c r="A300" l="1"/>
  <c r="J77" i="78"/>
  <c r="A302" i="84" l="1"/>
  <c r="D19" i="89"/>
  <c r="D18"/>
  <c r="D8"/>
  <c r="D10"/>
  <c r="J8"/>
  <c r="J12" s="1"/>
  <c r="D14"/>
  <c r="J19"/>
  <c r="J18"/>
  <c r="K19"/>
  <c r="K18"/>
  <c r="K17"/>
  <c r="J16"/>
  <c r="I16"/>
  <c r="K15"/>
  <c r="K14"/>
  <c r="K13"/>
  <c r="A303" i="84" l="1"/>
  <c r="J20" i="89"/>
  <c r="K20"/>
  <c r="K16"/>
  <c r="K9"/>
  <c r="K10"/>
  <c r="K11"/>
  <c r="K8"/>
  <c r="I12"/>
  <c r="K12" s="1"/>
  <c r="L9"/>
  <c r="L10"/>
  <c r="L11"/>
  <c r="L13"/>
  <c r="L14"/>
  <c r="L15"/>
  <c r="L17"/>
  <c r="L18"/>
  <c r="L19"/>
  <c r="L8"/>
  <c r="U26" i="72"/>
  <c r="U16"/>
  <c r="V26"/>
  <c r="V16"/>
  <c r="M26"/>
  <c r="M16"/>
  <c r="N26"/>
  <c r="N16"/>
  <c r="O26"/>
  <c r="O16"/>
  <c r="P26"/>
  <c r="P16"/>
  <c r="Q26"/>
  <c r="Q16"/>
  <c r="R26"/>
  <c r="R16"/>
  <c r="S26"/>
  <c r="S16"/>
  <c r="T26"/>
  <c r="T16"/>
  <c r="A305" i="84" l="1"/>
  <c r="U36" i="72"/>
  <c r="N36"/>
  <c r="V36"/>
  <c r="M36"/>
  <c r="T36"/>
  <c r="P36"/>
  <c r="R36"/>
  <c r="S36"/>
  <c r="Q36"/>
  <c r="O36"/>
  <c r="A309" i="84" l="1"/>
  <c r="A310" l="1"/>
  <c r="D9" i="90"/>
  <c r="H8" i="72"/>
  <c r="I8" s="1"/>
  <c r="G64" i="70"/>
  <c r="K64" s="1"/>
  <c r="G68"/>
  <c r="F67"/>
  <c r="E67"/>
  <c r="D67"/>
  <c r="G66"/>
  <c r="F65"/>
  <c r="E65"/>
  <c r="D65"/>
  <c r="F62"/>
  <c r="D62"/>
  <c r="G59"/>
  <c r="K59" s="1"/>
  <c r="F58"/>
  <c r="E58"/>
  <c r="D58"/>
  <c r="F56"/>
  <c r="D56"/>
  <c r="G55"/>
  <c r="F54"/>
  <c r="E54"/>
  <c r="D54"/>
  <c r="F44"/>
  <c r="D44"/>
  <c r="G46"/>
  <c r="K46" s="1"/>
  <c r="G45"/>
  <c r="K45" s="1"/>
  <c r="G51"/>
  <c r="K51" s="1"/>
  <c r="F50"/>
  <c r="E50"/>
  <c r="D50"/>
  <c r="G49"/>
  <c r="F48"/>
  <c r="E48"/>
  <c r="D48"/>
  <c r="G37"/>
  <c r="K37" s="1"/>
  <c r="G36"/>
  <c r="K36" s="1"/>
  <c r="F35"/>
  <c r="D35"/>
  <c r="G41"/>
  <c r="K41" s="1"/>
  <c r="F40"/>
  <c r="E40"/>
  <c r="D40"/>
  <c r="G39"/>
  <c r="F38"/>
  <c r="E38"/>
  <c r="D38"/>
  <c r="G65" l="1"/>
  <c r="K65" s="1"/>
  <c r="K66"/>
  <c r="G67"/>
  <c r="K67" s="1"/>
  <c r="K68"/>
  <c r="G48"/>
  <c r="K48" s="1"/>
  <c r="K49"/>
  <c r="G38"/>
  <c r="K38" s="1"/>
  <c r="K39"/>
  <c r="G54"/>
  <c r="K54" s="1"/>
  <c r="K55"/>
  <c r="A311" i="84"/>
  <c r="D69" i="70"/>
  <c r="F69"/>
  <c r="E62"/>
  <c r="E69" s="1"/>
  <c r="G63"/>
  <c r="K63" s="1"/>
  <c r="G58"/>
  <c r="E44"/>
  <c r="G47"/>
  <c r="G50"/>
  <c r="K50" s="1"/>
  <c r="E35"/>
  <c r="G35"/>
  <c r="K35" s="1"/>
  <c r="G40"/>
  <c r="K40" s="1"/>
  <c r="G44" l="1"/>
  <c r="K44" s="1"/>
  <c r="K47"/>
  <c r="A312" i="84"/>
  <c r="G62" i="70"/>
  <c r="K62" s="1"/>
  <c r="G57"/>
  <c r="K57" s="1"/>
  <c r="E56"/>
  <c r="A313" i="84" l="1"/>
  <c r="G69" i="70"/>
  <c r="K69" s="1"/>
  <c r="G56"/>
  <c r="K56" s="1"/>
  <c r="I233" i="109"/>
  <c r="H233"/>
  <c r="G233"/>
  <c r="J86" i="78"/>
  <c r="J121"/>
  <c r="J92"/>
  <c r="J80"/>
  <c r="I27"/>
  <c r="D27"/>
  <c r="B27"/>
  <c r="A7" i="85"/>
  <c r="C14" i="90"/>
  <c r="C18"/>
  <c r="C19"/>
  <c r="C20"/>
  <c r="C21"/>
  <c r="C22"/>
  <c r="C23"/>
  <c r="C24"/>
  <c r="C25"/>
  <c r="C26"/>
  <c r="C28"/>
  <c r="C29"/>
  <c r="C30"/>
  <c r="C31"/>
  <c r="C32"/>
  <c r="C33"/>
  <c r="C34"/>
  <c r="C35"/>
  <c r="C36"/>
  <c r="E8" i="89"/>
  <c r="F8" s="1"/>
  <c r="D9"/>
  <c r="E9" s="1"/>
  <c r="E10"/>
  <c r="F10" s="1"/>
  <c r="D11"/>
  <c r="E11" s="1"/>
  <c r="C12"/>
  <c r="L12" s="1"/>
  <c r="D13"/>
  <c r="E13" s="1"/>
  <c r="M13" s="1"/>
  <c r="E14"/>
  <c r="D15"/>
  <c r="E15" s="1"/>
  <c r="C16"/>
  <c r="L16" s="1"/>
  <c r="D17"/>
  <c r="E17" s="1"/>
  <c r="F17" s="1"/>
  <c r="E19"/>
  <c r="C20"/>
  <c r="L20" s="1"/>
  <c r="H13" i="88"/>
  <c r="H14"/>
  <c r="H15"/>
  <c r="H16"/>
  <c r="H17"/>
  <c r="H18"/>
  <c r="C19"/>
  <c r="D19"/>
  <c r="E19"/>
  <c r="F19"/>
  <c r="G19"/>
  <c r="A9" i="84"/>
  <c r="J27" i="78"/>
  <c r="J30"/>
  <c r="B30"/>
  <c r="D30"/>
  <c r="I30"/>
  <c r="B80"/>
  <c r="D80"/>
  <c r="I80"/>
  <c r="J83"/>
  <c r="B83"/>
  <c r="D83"/>
  <c r="I83"/>
  <c r="B92"/>
  <c r="D92"/>
  <c r="I92"/>
  <c r="J103"/>
  <c r="B103"/>
  <c r="D103"/>
  <c r="I103"/>
  <c r="J106"/>
  <c r="B106"/>
  <c r="D106"/>
  <c r="I106"/>
  <c r="J109"/>
  <c r="B109"/>
  <c r="D109"/>
  <c r="I109"/>
  <c r="J112"/>
  <c r="B112"/>
  <c r="D112"/>
  <c r="I112"/>
  <c r="J118"/>
  <c r="B118"/>
  <c r="D118"/>
  <c r="I118"/>
  <c r="B121"/>
  <c r="D121"/>
  <c r="I121"/>
  <c r="AE4" i="75"/>
  <c r="AE5"/>
  <c r="AE6"/>
  <c r="S7"/>
  <c r="U7" s="1"/>
  <c r="W7" s="1"/>
  <c r="AE7"/>
  <c r="S8"/>
  <c r="U8" s="1"/>
  <c r="W8" s="1"/>
  <c r="AE8"/>
  <c r="S9"/>
  <c r="U9" s="1"/>
  <c r="W9" s="1"/>
  <c r="AE10"/>
  <c r="S10"/>
  <c r="U10" s="1"/>
  <c r="Z11"/>
  <c r="AA11"/>
  <c r="AB11"/>
  <c r="AC11"/>
  <c r="AD11"/>
  <c r="S11"/>
  <c r="U11" s="1"/>
  <c r="S12"/>
  <c r="U12" s="1"/>
  <c r="W12" s="1"/>
  <c r="S13"/>
  <c r="U13" s="1"/>
  <c r="W13" s="1"/>
  <c r="S14"/>
  <c r="U14" s="1"/>
  <c r="S15"/>
  <c r="U15" s="1"/>
  <c r="G16"/>
  <c r="H16"/>
  <c r="I16"/>
  <c r="J16"/>
  <c r="J29" s="1"/>
  <c r="K16"/>
  <c r="L16"/>
  <c r="M16"/>
  <c r="N16"/>
  <c r="O16"/>
  <c r="P16"/>
  <c r="Q16"/>
  <c r="R16"/>
  <c r="S18"/>
  <c r="U18" s="1"/>
  <c r="W18" s="1"/>
  <c r="S19"/>
  <c r="U19" s="1"/>
  <c r="W19" s="1"/>
  <c r="S20"/>
  <c r="U20" s="1"/>
  <c r="W20" s="1"/>
  <c r="S21"/>
  <c r="U21" s="1"/>
  <c r="W21" s="1"/>
  <c r="S22"/>
  <c r="U22" s="1"/>
  <c r="W22" s="1"/>
  <c r="S23"/>
  <c r="U23" s="1"/>
  <c r="W23" s="1"/>
  <c r="S24"/>
  <c r="U24" s="1"/>
  <c r="W24" s="1"/>
  <c r="S25"/>
  <c r="U25" s="1"/>
  <c r="S26"/>
  <c r="U26" s="1"/>
  <c r="S27"/>
  <c r="U27" s="1"/>
  <c r="G28"/>
  <c r="H28"/>
  <c r="I28"/>
  <c r="J28"/>
  <c r="K28"/>
  <c r="L28"/>
  <c r="M28"/>
  <c r="N28"/>
  <c r="O28"/>
  <c r="P28"/>
  <c r="Q28"/>
  <c r="R28"/>
  <c r="D9" i="73"/>
  <c r="I9"/>
  <c r="J9"/>
  <c r="K9"/>
  <c r="L9"/>
  <c r="D11"/>
  <c r="I11"/>
  <c r="J11"/>
  <c r="K11"/>
  <c r="L11"/>
  <c r="I13"/>
  <c r="J13"/>
  <c r="K13"/>
  <c r="L13"/>
  <c r="D15"/>
  <c r="I15"/>
  <c r="J15"/>
  <c r="J48" s="1"/>
  <c r="K15"/>
  <c r="L42"/>
  <c r="I10" i="72"/>
  <c r="F11" i="90" s="1"/>
  <c r="M11" i="72"/>
  <c r="N11" s="1"/>
  <c r="O11" s="1"/>
  <c r="P11" s="1"/>
  <c r="Q11" s="1"/>
  <c r="R11" s="1"/>
  <c r="S11" s="1"/>
  <c r="T11" s="1"/>
  <c r="U11" s="1"/>
  <c r="V11" s="1"/>
  <c r="W11" s="1"/>
  <c r="X11" s="1"/>
  <c r="G16"/>
  <c r="H16"/>
  <c r="I16"/>
  <c r="L16"/>
  <c r="W16"/>
  <c r="X16"/>
  <c r="G26"/>
  <c r="H26"/>
  <c r="I26"/>
  <c r="I36" s="1"/>
  <c r="L26"/>
  <c r="W26"/>
  <c r="X26"/>
  <c r="D19" i="70"/>
  <c r="E19"/>
  <c r="F19"/>
  <c r="G20"/>
  <c r="D31"/>
  <c r="E31"/>
  <c r="F31"/>
  <c r="G32"/>
  <c r="D42"/>
  <c r="F42"/>
  <c r="D52"/>
  <c r="F52"/>
  <c r="D60"/>
  <c r="F60"/>
  <c r="D78"/>
  <c r="D82" s="1"/>
  <c r="D84" s="1"/>
  <c r="E78"/>
  <c r="E82" s="1"/>
  <c r="E84" s="1"/>
  <c r="O25" i="69"/>
  <c r="P25"/>
  <c r="Q25"/>
  <c r="G26"/>
  <c r="H26"/>
  <c r="I26"/>
  <c r="O25" i="68"/>
  <c r="P25"/>
  <c r="Q25"/>
  <c r="G26"/>
  <c r="H26"/>
  <c r="I26"/>
  <c r="H233" i="97"/>
  <c r="H233" i="67"/>
  <c r="H233" i="66"/>
  <c r="I233"/>
  <c r="H233" i="65"/>
  <c r="I233"/>
  <c r="H230" i="66"/>
  <c r="I230"/>
  <c r="I194" i="67"/>
  <c r="I193" s="1"/>
  <c r="I192" s="1"/>
  <c r="I234"/>
  <c r="I234" i="97"/>
  <c r="G230" i="67"/>
  <c r="I194" i="66"/>
  <c r="I193" s="1"/>
  <c r="I192" s="1"/>
  <c r="G230" i="97"/>
  <c r="I194" i="65"/>
  <c r="I193" s="1"/>
  <c r="I192" s="1"/>
  <c r="G230" i="66"/>
  <c r="H194" i="67"/>
  <c r="H193" s="1"/>
  <c r="H192" s="1"/>
  <c r="H234"/>
  <c r="H232" s="1"/>
  <c r="H234" i="66"/>
  <c r="G233" i="64"/>
  <c r="G233" i="65"/>
  <c r="G194"/>
  <c r="G193" s="1"/>
  <c r="G192" s="1"/>
  <c r="G233" i="97"/>
  <c r="G194"/>
  <c r="G193" s="1"/>
  <c r="G192" s="1"/>
  <c r="G233" i="67"/>
  <c r="H194" i="65"/>
  <c r="H193" s="1"/>
  <c r="H192" s="1"/>
  <c r="G233" i="66"/>
  <c r="H234" i="97"/>
  <c r="G194" i="66"/>
  <c r="G193" s="1"/>
  <c r="G192" s="1"/>
  <c r="G234" i="67"/>
  <c r="G234" i="97"/>
  <c r="G18" i="70"/>
  <c r="E21"/>
  <c r="G194" i="67"/>
  <c r="G193" s="1"/>
  <c r="G192" s="1"/>
  <c r="I234" i="65"/>
  <c r="I233" i="97"/>
  <c r="G234" i="65"/>
  <c r="G234" i="66"/>
  <c r="AE11" i="75"/>
  <c r="L15" i="73"/>
  <c r="C9" i="90"/>
  <c r="G17" i="70" l="1"/>
  <c r="K17" s="1"/>
  <c r="K18"/>
  <c r="G19"/>
  <c r="K19" s="1"/>
  <c r="K20"/>
  <c r="G31"/>
  <c r="K31" s="1"/>
  <c r="K32"/>
  <c r="I48" i="73"/>
  <c r="G29" i="75"/>
  <c r="G30" s="1"/>
  <c r="S16"/>
  <c r="U16" s="1"/>
  <c r="Q29"/>
  <c r="N29"/>
  <c r="M29"/>
  <c r="A10" i="84"/>
  <c r="A315"/>
  <c r="R29" i="75"/>
  <c r="S28"/>
  <c r="U28" s="1"/>
  <c r="O29"/>
  <c r="K29"/>
  <c r="P29"/>
  <c r="U147" i="85"/>
  <c r="O7"/>
  <c r="N7"/>
  <c r="N147"/>
  <c r="M77"/>
  <c r="L7"/>
  <c r="L147"/>
  <c r="K77"/>
  <c r="I77"/>
  <c r="U77"/>
  <c r="R7"/>
  <c r="Q7"/>
  <c r="Q147"/>
  <c r="P77"/>
  <c r="O77"/>
  <c r="I147"/>
  <c r="U7"/>
  <c r="P7"/>
  <c r="M7"/>
  <c r="K147"/>
  <c r="H77"/>
  <c r="G7"/>
  <c r="G147"/>
  <c r="G217" s="1"/>
  <c r="L77"/>
  <c r="H7"/>
  <c r="H147"/>
  <c r="R77"/>
  <c r="P147"/>
  <c r="M147"/>
  <c r="I7"/>
  <c r="F7"/>
  <c r="E7"/>
  <c r="E147"/>
  <c r="R147"/>
  <c r="O147"/>
  <c r="F77"/>
  <c r="Q77"/>
  <c r="N77"/>
  <c r="K7"/>
  <c r="F147"/>
  <c r="E77"/>
  <c r="D7"/>
  <c r="D147"/>
  <c r="C77"/>
  <c r="D77"/>
  <c r="C7"/>
  <c r="C147"/>
  <c r="I99" i="78"/>
  <c r="J99"/>
  <c r="B99"/>
  <c r="H146" i="66"/>
  <c r="B123" i="78"/>
  <c r="D123"/>
  <c r="D64"/>
  <c r="J64"/>
  <c r="H19" i="88"/>
  <c r="B64" i="78"/>
  <c r="I123"/>
  <c r="J123"/>
  <c r="D99"/>
  <c r="I64"/>
  <c r="W36" i="72"/>
  <c r="H36"/>
  <c r="H146" i="67"/>
  <c r="G24" i="61"/>
  <c r="I232" i="97"/>
  <c r="F9" i="90"/>
  <c r="E9"/>
  <c r="J13" i="72"/>
  <c r="K13" s="1"/>
  <c r="J10"/>
  <c r="K10" s="1"/>
  <c r="I151" i="61"/>
  <c r="G146" i="66"/>
  <c r="G132" s="1"/>
  <c r="L29" i="75"/>
  <c r="H29"/>
  <c r="I29"/>
  <c r="G206" i="61"/>
  <c r="I204"/>
  <c r="Q30" i="69" s="1"/>
  <c r="H203" i="61"/>
  <c r="P29" i="69" s="1"/>
  <c r="G202" i="61"/>
  <c r="O28" i="69" s="1"/>
  <c r="I89" i="61"/>
  <c r="I21" i="69" s="1"/>
  <c r="H146" i="97"/>
  <c r="I24" i="61"/>
  <c r="I10" i="68" s="1"/>
  <c r="I226" i="67"/>
  <c r="G226" i="109"/>
  <c r="I226"/>
  <c r="I226" i="97"/>
  <c r="H226" i="67"/>
  <c r="G146"/>
  <c r="I146" i="97"/>
  <c r="F21" i="70"/>
  <c r="G115" i="61"/>
  <c r="L36" i="72"/>
  <c r="G198" i="61"/>
  <c r="O24" i="69" s="1"/>
  <c r="I196" i="61"/>
  <c r="H195"/>
  <c r="P21" i="69" s="1"/>
  <c r="I93" i="61"/>
  <c r="H123" i="66"/>
  <c r="I198" i="61"/>
  <c r="Q24" i="69" s="1"/>
  <c r="H197" i="61"/>
  <c r="G196"/>
  <c r="O22" i="69" s="1"/>
  <c r="I206" i="61"/>
  <c r="Q32" i="69" s="1"/>
  <c r="H205" i="61"/>
  <c r="G204"/>
  <c r="I202"/>
  <c r="Q28" i="69" s="1"/>
  <c r="H201" i="61"/>
  <c r="P27" i="69" s="1"/>
  <c r="G200" i="61"/>
  <c r="I197"/>
  <c r="Q23" i="69" s="1"/>
  <c r="H196" i="61"/>
  <c r="G195"/>
  <c r="I160"/>
  <c r="Q12" i="69" s="1"/>
  <c r="H117" i="61"/>
  <c r="P14" i="68" s="1"/>
  <c r="G91" i="61"/>
  <c r="I57"/>
  <c r="M19" i="89"/>
  <c r="F19"/>
  <c r="M17"/>
  <c r="D20"/>
  <c r="E18"/>
  <c r="M14"/>
  <c r="F14"/>
  <c r="M15"/>
  <c r="F15"/>
  <c r="D16"/>
  <c r="F13"/>
  <c r="E16"/>
  <c r="M16" s="1"/>
  <c r="M11"/>
  <c r="F11"/>
  <c r="M10"/>
  <c r="M9"/>
  <c r="F9"/>
  <c r="M8"/>
  <c r="E12"/>
  <c r="M12" s="1"/>
  <c r="D12"/>
  <c r="A8" i="85"/>
  <c r="H233" i="64"/>
  <c r="H200" i="61"/>
  <c r="P26" i="69" s="1"/>
  <c r="H240" i="61"/>
  <c r="G160"/>
  <c r="H139"/>
  <c r="P17" i="68" s="1"/>
  <c r="I115" i="61"/>
  <c r="Q12" i="68" s="1"/>
  <c r="I111" i="61"/>
  <c r="Q10" i="68" s="1"/>
  <c r="G57" i="61"/>
  <c r="M57" s="1"/>
  <c r="I205"/>
  <c r="Q31" i="69" s="1"/>
  <c r="H204" i="61"/>
  <c r="P30" i="69" s="1"/>
  <c r="G203" i="61"/>
  <c r="O29" i="69" s="1"/>
  <c r="I201" i="61"/>
  <c r="Q27" i="69" s="1"/>
  <c r="H90" i="61"/>
  <c r="I96"/>
  <c r="I28" i="69" s="1"/>
  <c r="H97" i="61"/>
  <c r="H29" i="69" s="1"/>
  <c r="I233" i="64"/>
  <c r="I200" i="61"/>
  <c r="I240"/>
  <c r="I139"/>
  <c r="Q17" i="68" s="1"/>
  <c r="H57" i="61"/>
  <c r="H198"/>
  <c r="P24" i="69" s="1"/>
  <c r="G197" i="61"/>
  <c r="O23" i="69" s="1"/>
  <c r="I195" i="61"/>
  <c r="Q21" i="69" s="1"/>
  <c r="H96" i="61"/>
  <c r="I92"/>
  <c r="H93"/>
  <c r="H25" i="69" s="1"/>
  <c r="I95" i="61"/>
  <c r="G97"/>
  <c r="H206"/>
  <c r="P32" i="69" s="1"/>
  <c r="G205" i="61"/>
  <c r="O31" i="69" s="1"/>
  <c r="I203" i="61"/>
  <c r="Q29" i="69" s="1"/>
  <c r="H202" i="61"/>
  <c r="P28" i="69" s="1"/>
  <c r="G201" i="61"/>
  <c r="G90"/>
  <c r="G22" i="69" s="1"/>
  <c r="H89" i="61"/>
  <c r="H92"/>
  <c r="H24" i="69" s="1"/>
  <c r="G93" i="61"/>
  <c r="G25" i="69" s="1"/>
  <c r="H95" i="61"/>
  <c r="G96"/>
  <c r="G28" i="69" s="1"/>
  <c r="H99" i="61"/>
  <c r="H31" i="69" s="1"/>
  <c r="G240" i="61"/>
  <c r="M240" s="1"/>
  <c r="G139"/>
  <c r="H115"/>
  <c r="P12" i="68" s="1"/>
  <c r="H111" i="61"/>
  <c r="P10" i="68" s="1"/>
  <c r="G89" i="61"/>
  <c r="I90"/>
  <c r="I22" i="69" s="1"/>
  <c r="H91" i="61"/>
  <c r="G92"/>
  <c r="I97"/>
  <c r="I29" i="69" s="1"/>
  <c r="H98" i="61"/>
  <c r="A11" i="84"/>
  <c r="K48" i="73"/>
  <c r="X36" i="72"/>
  <c r="G36"/>
  <c r="Y26"/>
  <c r="D48" i="73"/>
  <c r="L48"/>
  <c r="Y16" i="72"/>
  <c r="C27" i="90"/>
  <c r="C17"/>
  <c r="E33" i="70"/>
  <c r="G12" i="66"/>
  <c r="G11" s="1"/>
  <c r="G242"/>
  <c r="K242" s="1"/>
  <c r="H242" i="67"/>
  <c r="G165"/>
  <c r="I150"/>
  <c r="I242"/>
  <c r="I242" i="66"/>
  <c r="H223"/>
  <c r="H159" i="67"/>
  <c r="G232" i="66"/>
  <c r="G232" i="65"/>
  <c r="G150" i="67"/>
  <c r="K150" s="1"/>
  <c r="G150" i="66"/>
  <c r="K150" s="1"/>
  <c r="G123"/>
  <c r="G111" i="61"/>
  <c r="M111" s="1"/>
  <c r="H58" i="66"/>
  <c r="I223" i="109"/>
  <c r="G44" i="66"/>
  <c r="G231" i="64"/>
  <c r="H230" i="65"/>
  <c r="G230"/>
  <c r="I231" i="64"/>
  <c r="H24" i="61"/>
  <c r="G159" i="66"/>
  <c r="G151" i="61"/>
  <c r="M151" s="1"/>
  <c r="H150" i="67"/>
  <c r="G58" i="66"/>
  <c r="I32"/>
  <c r="I223" i="67"/>
  <c r="I12"/>
  <c r="I11" s="1"/>
  <c r="H51"/>
  <c r="H51" i="66"/>
  <c r="I12"/>
  <c r="I11" s="1"/>
  <c r="H159"/>
  <c r="H226" i="109"/>
  <c r="G159" i="67"/>
  <c r="I100" i="61"/>
  <c r="I44" i="66"/>
  <c r="H160" i="61"/>
  <c r="G98"/>
  <c r="I99"/>
  <c r="G100"/>
  <c r="I123" i="67"/>
  <c r="H64" i="66"/>
  <c r="H230" i="97"/>
  <c r="I146" i="67"/>
  <c r="H64"/>
  <c r="G230" i="109"/>
  <c r="H230" i="67"/>
  <c r="I58"/>
  <c r="H170" i="61"/>
  <c r="I230" i="67"/>
  <c r="G232"/>
  <c r="G242" i="109"/>
  <c r="K242" s="1"/>
  <c r="G232" i="97"/>
  <c r="G242" i="67"/>
  <c r="K242" s="1"/>
  <c r="G146" i="97"/>
  <c r="Q10" i="69"/>
  <c r="I110" i="109"/>
  <c r="H159"/>
  <c r="G234"/>
  <c r="G232" s="1"/>
  <c r="I230" i="97"/>
  <c r="H12" i="66"/>
  <c r="H11" s="1"/>
  <c r="I232" i="65"/>
  <c r="H234"/>
  <c r="H232" s="1"/>
  <c r="I230" i="109"/>
  <c r="I234"/>
  <c r="I232" s="1"/>
  <c r="I242"/>
  <c r="H165" i="67"/>
  <c r="H230" i="109"/>
  <c r="H234"/>
  <c r="H232" s="1"/>
  <c r="H242"/>
  <c r="I146"/>
  <c r="I194"/>
  <c r="I193" s="1"/>
  <c r="I192" s="1"/>
  <c r="H110"/>
  <c r="H194"/>
  <c r="H193" s="1"/>
  <c r="H192" s="1"/>
  <c r="G194"/>
  <c r="G193" s="1"/>
  <c r="G192" s="1"/>
  <c r="I234" i="66"/>
  <c r="I232" s="1"/>
  <c r="I233" i="67"/>
  <c r="I194" i="97"/>
  <c r="I193" s="1"/>
  <c r="I192" s="1"/>
  <c r="H194"/>
  <c r="H193" s="1"/>
  <c r="H192" s="1"/>
  <c r="H232" i="66"/>
  <c r="H194"/>
  <c r="H193" s="1"/>
  <c r="H232" i="97"/>
  <c r="E52" i="70"/>
  <c r="H230" i="64"/>
  <c r="I146" i="66"/>
  <c r="E60" i="70"/>
  <c r="I159" i="66"/>
  <c r="O12" i="69" l="1"/>
  <c r="M160" i="61"/>
  <c r="O17" i="68"/>
  <c r="M139" i="61"/>
  <c r="G21" i="69"/>
  <c r="M89" i="61"/>
  <c r="G10" i="68"/>
  <c r="M24" i="61"/>
  <c r="O12" i="68"/>
  <c r="M115" i="61"/>
  <c r="R217" i="85"/>
  <c r="N217"/>
  <c r="I217"/>
  <c r="H217"/>
  <c r="D217"/>
  <c r="C217"/>
  <c r="F217"/>
  <c r="E217"/>
  <c r="O217"/>
  <c r="Q217"/>
  <c r="P217"/>
  <c r="M217"/>
  <c r="L217"/>
  <c r="K217"/>
  <c r="U217"/>
  <c r="G24" i="69"/>
  <c r="M92" i="61"/>
  <c r="G23" i="69"/>
  <c r="M91" i="61"/>
  <c r="H30" i="75"/>
  <c r="I30" s="1"/>
  <c r="J30" s="1"/>
  <c r="K30" s="1"/>
  <c r="L30" s="1"/>
  <c r="M30" s="1"/>
  <c r="N30" s="1"/>
  <c r="O30" s="1"/>
  <c r="P30" s="1"/>
  <c r="Q30" s="1"/>
  <c r="R30" s="1"/>
  <c r="S29"/>
  <c r="A317" i="84"/>
  <c r="J147" i="85"/>
  <c r="J77"/>
  <c r="S147"/>
  <c r="S77"/>
  <c r="R148"/>
  <c r="Q78"/>
  <c r="P8"/>
  <c r="P148"/>
  <c r="I8"/>
  <c r="U148"/>
  <c r="O8"/>
  <c r="N8"/>
  <c r="N148"/>
  <c r="M78"/>
  <c r="L8"/>
  <c r="L148"/>
  <c r="K78"/>
  <c r="I78"/>
  <c r="R8"/>
  <c r="N78"/>
  <c r="K8"/>
  <c r="F148"/>
  <c r="E78"/>
  <c r="F8"/>
  <c r="U8"/>
  <c r="U78"/>
  <c r="Q8"/>
  <c r="O78"/>
  <c r="M8"/>
  <c r="K148"/>
  <c r="I148"/>
  <c r="H78"/>
  <c r="G8"/>
  <c r="G148"/>
  <c r="G218" s="1"/>
  <c r="M148"/>
  <c r="R78"/>
  <c r="Q148"/>
  <c r="E8"/>
  <c r="P78"/>
  <c r="O148"/>
  <c r="L78"/>
  <c r="H8"/>
  <c r="H148"/>
  <c r="E148"/>
  <c r="F78"/>
  <c r="D78"/>
  <c r="C8"/>
  <c r="C148"/>
  <c r="D8"/>
  <c r="D148"/>
  <c r="C78"/>
  <c r="A9"/>
  <c r="L13" i="72"/>
  <c r="M13" s="1"/>
  <c r="N13" s="1"/>
  <c r="O13" s="1"/>
  <c r="P13" s="1"/>
  <c r="Q13" s="1"/>
  <c r="R13" s="1"/>
  <c r="S13" s="1"/>
  <c r="T13" s="1"/>
  <c r="U13" s="1"/>
  <c r="V13" s="1"/>
  <c r="W13" s="1"/>
  <c r="X13" s="1"/>
  <c r="L10"/>
  <c r="M10" s="1"/>
  <c r="N10" s="1"/>
  <c r="O10" s="1"/>
  <c r="P10" s="1"/>
  <c r="Q10" s="1"/>
  <c r="R10" s="1"/>
  <c r="S10" s="1"/>
  <c r="T10" s="1"/>
  <c r="U10" s="1"/>
  <c r="V10" s="1"/>
  <c r="W10" s="1"/>
  <c r="X10" s="1"/>
  <c r="G231" i="61"/>
  <c r="I230" i="64"/>
  <c r="I229" s="1"/>
  <c r="H233" i="61"/>
  <c r="I110" i="67"/>
  <c r="G226" i="97"/>
  <c r="G226" i="67"/>
  <c r="H226" i="66"/>
  <c r="G226"/>
  <c r="H110" i="67"/>
  <c r="H110" i="66"/>
  <c r="I110"/>
  <c r="H132" i="67"/>
  <c r="H58"/>
  <c r="H50" s="1"/>
  <c r="G149"/>
  <c r="K149" s="1"/>
  <c r="H242" i="66"/>
  <c r="I64"/>
  <c r="H64" i="109"/>
  <c r="G110" i="97"/>
  <c r="H110"/>
  <c r="K110" s="1"/>
  <c r="G123" i="67"/>
  <c r="G25" i="66"/>
  <c r="H116"/>
  <c r="I223"/>
  <c r="H146" i="109"/>
  <c r="H132" s="1"/>
  <c r="G170" i="61"/>
  <c r="O14" i="69" s="1"/>
  <c r="I170" i="61"/>
  <c r="Q14" i="69" s="1"/>
  <c r="M18" i="89"/>
  <c r="E20"/>
  <c r="M20" s="1"/>
  <c r="F18"/>
  <c r="F20" s="1"/>
  <c r="F16"/>
  <c r="F12"/>
  <c r="G99" i="61"/>
  <c r="G31" i="69" s="1"/>
  <c r="G95" i="61"/>
  <c r="G88" s="1"/>
  <c r="M88" s="1"/>
  <c r="G117"/>
  <c r="M117" s="1"/>
  <c r="P12" i="69"/>
  <c r="I32"/>
  <c r="H100" i="61"/>
  <c r="H32" i="69" s="1"/>
  <c r="H151" i="61"/>
  <c r="P10" i="69" s="1"/>
  <c r="I98" i="61"/>
  <c r="I30" i="69" s="1"/>
  <c r="I117" i="61"/>
  <c r="Q14" i="68" s="1"/>
  <c r="I88" i="64"/>
  <c r="I87" s="1"/>
  <c r="I86" s="1"/>
  <c r="I91" i="61"/>
  <c r="I23" i="69" s="1"/>
  <c r="P14"/>
  <c r="A12" i="84"/>
  <c r="Y36" i="72"/>
  <c r="C37" i="90"/>
  <c r="I132" i="67"/>
  <c r="G132"/>
  <c r="K132" s="1"/>
  <c r="H123"/>
  <c r="H51" i="109"/>
  <c r="I25"/>
  <c r="H51" i="97"/>
  <c r="G227" i="109"/>
  <c r="G225" s="1"/>
  <c r="I51" i="67"/>
  <c r="I32"/>
  <c r="I123" i="66"/>
  <c r="H25" i="67"/>
  <c r="H50" i="66"/>
  <c r="G88" i="64"/>
  <c r="G87" s="1"/>
  <c r="G86" s="1"/>
  <c r="H123" i="109"/>
  <c r="H22" i="69"/>
  <c r="I25" i="97"/>
  <c r="H25"/>
  <c r="K25" s="1"/>
  <c r="H25" i="109"/>
  <c r="H223" i="67"/>
  <c r="I44"/>
  <c r="G12"/>
  <c r="G11" s="1"/>
  <c r="K11" s="1"/>
  <c r="I64"/>
  <c r="I223" i="97"/>
  <c r="I51" i="66"/>
  <c r="H116" i="109"/>
  <c r="I226" i="66"/>
  <c r="H21" i="69"/>
  <c r="I230" i="65"/>
  <c r="E42" i="70"/>
  <c r="G230" i="64"/>
  <c r="G229" s="1"/>
  <c r="G32" i="69"/>
  <c r="H88" i="64"/>
  <c r="H87" s="1"/>
  <c r="H86" s="1"/>
  <c r="H231"/>
  <c r="H229" s="1"/>
  <c r="G44" i="67"/>
  <c r="K44" s="1"/>
  <c r="I165" i="109"/>
  <c r="G30" i="69"/>
  <c r="I27"/>
  <c r="I12" i="109"/>
  <c r="I11" s="1"/>
  <c r="H150" i="66"/>
  <c r="G165"/>
  <c r="G149" s="1"/>
  <c r="K149" s="1"/>
  <c r="I242" i="97"/>
  <c r="H165" i="66"/>
  <c r="G32" i="67"/>
  <c r="K32" s="1"/>
  <c r="G132" i="97"/>
  <c r="I64" i="109"/>
  <c r="H226" i="97"/>
  <c r="H58" i="109"/>
  <c r="H12" i="67"/>
  <c r="H11" s="1"/>
  <c r="I150" i="109"/>
  <c r="I44"/>
  <c r="H44" i="66"/>
  <c r="H30" i="69"/>
  <c r="G150" i="109"/>
  <c r="K150" s="1"/>
  <c r="H223" i="97"/>
  <c r="G194" i="61"/>
  <c r="G193" s="1"/>
  <c r="G192" s="1"/>
  <c r="I51" i="109"/>
  <c r="H132" i="66"/>
  <c r="I159" i="109"/>
  <c r="H150"/>
  <c r="H44"/>
  <c r="I132"/>
  <c r="G123"/>
  <c r="H165"/>
  <c r="G159"/>
  <c r="K159" s="1"/>
  <c r="I123"/>
  <c r="G165"/>
  <c r="I123" i="97"/>
  <c r="G64" i="66"/>
  <c r="O10" i="68"/>
  <c r="I58" i="97"/>
  <c r="G123"/>
  <c r="I12"/>
  <c r="I11" s="1"/>
  <c r="G51"/>
  <c r="H64"/>
  <c r="H12"/>
  <c r="H11" s="1"/>
  <c r="K11" s="1"/>
  <c r="H44"/>
  <c r="H44" i="67"/>
  <c r="I159" i="97"/>
  <c r="H28" i="69"/>
  <c r="H123" i="97"/>
  <c r="G242"/>
  <c r="H116"/>
  <c r="K116" s="1"/>
  <c r="G64"/>
  <c r="I64"/>
  <c r="G58" i="67"/>
  <c r="H132" i="97"/>
  <c r="K132" s="1"/>
  <c r="H165"/>
  <c r="G58"/>
  <c r="H150"/>
  <c r="K150" s="1"/>
  <c r="G12"/>
  <c r="G11" s="1"/>
  <c r="I165"/>
  <c r="H159"/>
  <c r="G44"/>
  <c r="I44"/>
  <c r="I132"/>
  <c r="H242"/>
  <c r="I58" i="109"/>
  <c r="H231" i="61"/>
  <c r="O30" i="69"/>
  <c r="I31"/>
  <c r="O27"/>
  <c r="O32"/>
  <c r="H149" i="67"/>
  <c r="O21" i="69"/>
  <c r="G234" i="61"/>
  <c r="H27" i="69"/>
  <c r="O26"/>
  <c r="G233" i="61"/>
  <c r="I132" i="66"/>
  <c r="H230" i="61"/>
  <c r="H23" i="69"/>
  <c r="H88" i="61"/>
  <c r="G29" i="69"/>
  <c r="I24"/>
  <c r="Q22"/>
  <c r="I234" i="61"/>
  <c r="I194"/>
  <c r="I193" s="1"/>
  <c r="I192" s="1"/>
  <c r="I231"/>
  <c r="P23" i="69"/>
  <c r="P31"/>
  <c r="H194" i="61"/>
  <c r="H193" s="1"/>
  <c r="H192" s="1"/>
  <c r="P22" i="69"/>
  <c r="H234" i="61"/>
  <c r="Q26" i="69"/>
  <c r="I233" i="61"/>
  <c r="G60" i="70"/>
  <c r="K60" s="1"/>
  <c r="I25" i="69"/>
  <c r="G52" i="70"/>
  <c r="K52" s="1"/>
  <c r="H192" i="66"/>
  <c r="I232" i="67"/>
  <c r="R218" i="85" l="1"/>
  <c r="N218"/>
  <c r="I218"/>
  <c r="H218"/>
  <c r="D218"/>
  <c r="C218"/>
  <c r="F218"/>
  <c r="E218"/>
  <c r="J217"/>
  <c r="O218"/>
  <c r="Q218"/>
  <c r="P218"/>
  <c r="M218"/>
  <c r="L218"/>
  <c r="S217"/>
  <c r="K218"/>
  <c r="U218"/>
  <c r="S30" i="75"/>
  <c r="U30" s="1"/>
  <c r="U29"/>
  <c r="T147" i="85"/>
  <c r="T77"/>
  <c r="J78"/>
  <c r="J148"/>
  <c r="S78"/>
  <c r="S148"/>
  <c r="U9"/>
  <c r="R79"/>
  <c r="O149"/>
  <c r="N79"/>
  <c r="M9"/>
  <c r="M149"/>
  <c r="L79"/>
  <c r="K9"/>
  <c r="K149"/>
  <c r="R149"/>
  <c r="Q79"/>
  <c r="P9"/>
  <c r="P149"/>
  <c r="I9"/>
  <c r="P79"/>
  <c r="L9"/>
  <c r="H9"/>
  <c r="H149"/>
  <c r="F79"/>
  <c r="K79"/>
  <c r="I149"/>
  <c r="H79"/>
  <c r="G9"/>
  <c r="G149"/>
  <c r="G219" s="1"/>
  <c r="R9"/>
  <c r="N9"/>
  <c r="L149"/>
  <c r="F149"/>
  <c r="E79"/>
  <c r="U79"/>
  <c r="U149"/>
  <c r="Q9"/>
  <c r="O79"/>
  <c r="N149"/>
  <c r="Q149"/>
  <c r="O9"/>
  <c r="M79"/>
  <c r="I79"/>
  <c r="E149"/>
  <c r="F9"/>
  <c r="E9"/>
  <c r="D79"/>
  <c r="C9"/>
  <c r="C149"/>
  <c r="D9"/>
  <c r="D149"/>
  <c r="C79"/>
  <c r="A10"/>
  <c r="C231" i="61"/>
  <c r="D231"/>
  <c r="E233"/>
  <c r="E231"/>
  <c r="H232"/>
  <c r="J8" i="72"/>
  <c r="G227" i="67"/>
  <c r="G225" s="1"/>
  <c r="G179"/>
  <c r="G178" s="1"/>
  <c r="G177" s="1"/>
  <c r="G207" s="1"/>
  <c r="G227" i="97"/>
  <c r="G225" s="1"/>
  <c r="G179"/>
  <c r="G178" s="1"/>
  <c r="G177" s="1"/>
  <c r="G207" s="1"/>
  <c r="I110"/>
  <c r="G159"/>
  <c r="G150"/>
  <c r="I150"/>
  <c r="I149" s="1"/>
  <c r="H109" i="66"/>
  <c r="G116"/>
  <c r="K116" s="1"/>
  <c r="G147" i="61"/>
  <c r="M147" s="1"/>
  <c r="G51" i="109"/>
  <c r="G58"/>
  <c r="G64"/>
  <c r="G12"/>
  <c r="G11" s="1"/>
  <c r="G165" i="97"/>
  <c r="G44" i="109"/>
  <c r="H58" i="97"/>
  <c r="H50" s="1"/>
  <c r="I51"/>
  <c r="I50" s="1"/>
  <c r="I147" i="61"/>
  <c r="H147"/>
  <c r="G146" i="109"/>
  <c r="G132" s="1"/>
  <c r="I165" i="66"/>
  <c r="E71" i="70"/>
  <c r="E86" s="1"/>
  <c r="A13" i="84"/>
  <c r="H87" i="61"/>
  <c r="H86" s="1"/>
  <c r="I50" i="67"/>
  <c r="G179" i="109"/>
  <c r="G178" s="1"/>
  <c r="G177" s="1"/>
  <c r="G207" s="1"/>
  <c r="O14" i="68"/>
  <c r="H109" i="109"/>
  <c r="G223" i="66"/>
  <c r="I88" i="61"/>
  <c r="I87" s="1"/>
  <c r="I86" s="1"/>
  <c r="I25" i="66"/>
  <c r="I10" s="1"/>
  <c r="H25"/>
  <c r="H10" i="68"/>
  <c r="O10" i="69"/>
  <c r="G64" i="67"/>
  <c r="I230" i="61"/>
  <c r="I229" s="1"/>
  <c r="G87"/>
  <c r="I149" i="109"/>
  <c r="I58" i="66"/>
  <c r="I50" s="1"/>
  <c r="G51"/>
  <c r="G50" s="1"/>
  <c r="G51" i="67"/>
  <c r="H227" i="66"/>
  <c r="H225" s="1"/>
  <c r="H179"/>
  <c r="H178" s="1"/>
  <c r="H177" s="1"/>
  <c r="H207" s="1"/>
  <c r="I150"/>
  <c r="H149"/>
  <c r="H215" s="1"/>
  <c r="I159" i="67"/>
  <c r="I165"/>
  <c r="H50" i="109"/>
  <c r="G223" i="67"/>
  <c r="K223" s="1"/>
  <c r="G42" i="70"/>
  <c r="K42" s="1"/>
  <c r="G27" i="69"/>
  <c r="G20" s="1"/>
  <c r="G19" s="1"/>
  <c r="G18" s="1"/>
  <c r="G230" i="61"/>
  <c r="G229" s="1"/>
  <c r="I50" i="109"/>
  <c r="G223" i="97"/>
  <c r="I227" i="66"/>
  <c r="I225" s="1"/>
  <c r="I179"/>
  <c r="I178" s="1"/>
  <c r="I177" s="1"/>
  <c r="I207" s="1"/>
  <c r="H149" i="109"/>
  <c r="H32" i="66"/>
  <c r="I116"/>
  <c r="I109" s="1"/>
  <c r="H223" i="109"/>
  <c r="H229" i="61"/>
  <c r="G149" i="109"/>
  <c r="K149" s="1"/>
  <c r="H32" i="67"/>
  <c r="H10" s="1"/>
  <c r="H70" s="1"/>
  <c r="I32" i="97"/>
  <c r="I10" s="1"/>
  <c r="H149"/>
  <c r="K149" s="1"/>
  <c r="H109"/>
  <c r="K109" s="1"/>
  <c r="I32" i="109"/>
  <c r="I10" s="1"/>
  <c r="G50" i="97"/>
  <c r="O20" i="69"/>
  <c r="O19" s="1"/>
  <c r="O18" s="1"/>
  <c r="H94" i="67"/>
  <c r="H215"/>
  <c r="I232" i="61"/>
  <c r="G232"/>
  <c r="P20" i="69"/>
  <c r="P19" s="1"/>
  <c r="P18" s="1"/>
  <c r="Q20"/>
  <c r="Q19" s="1"/>
  <c r="Q18" s="1"/>
  <c r="I20"/>
  <c r="I19" s="1"/>
  <c r="I18" s="1"/>
  <c r="H20"/>
  <c r="H19" s="1"/>
  <c r="H18" s="1"/>
  <c r="R219" i="85" l="1"/>
  <c r="N219"/>
  <c r="I219"/>
  <c r="H219"/>
  <c r="D219"/>
  <c r="C219"/>
  <c r="F219"/>
  <c r="E219"/>
  <c r="J218"/>
  <c r="O219"/>
  <c r="Q219"/>
  <c r="P219"/>
  <c r="M219"/>
  <c r="T217"/>
  <c r="L219"/>
  <c r="S218"/>
  <c r="K219"/>
  <c r="U219"/>
  <c r="G86" i="61"/>
  <c r="M86" s="1"/>
  <c r="M87"/>
  <c r="M231"/>
  <c r="F231"/>
  <c r="T78" i="85"/>
  <c r="T148"/>
  <c r="J79"/>
  <c r="J149"/>
  <c r="S79"/>
  <c r="S149"/>
  <c r="U80"/>
  <c r="R10"/>
  <c r="Q10"/>
  <c r="Q150"/>
  <c r="P80"/>
  <c r="O80"/>
  <c r="I150"/>
  <c r="U10"/>
  <c r="R80"/>
  <c r="O150"/>
  <c r="N80"/>
  <c r="M10"/>
  <c r="M150"/>
  <c r="L80"/>
  <c r="K10"/>
  <c r="K150"/>
  <c r="Q80"/>
  <c r="O10"/>
  <c r="M80"/>
  <c r="I80"/>
  <c r="F10"/>
  <c r="E10"/>
  <c r="E150"/>
  <c r="P10"/>
  <c r="L10"/>
  <c r="H10"/>
  <c r="H150"/>
  <c r="F80"/>
  <c r="L150"/>
  <c r="F150"/>
  <c r="P150"/>
  <c r="N10"/>
  <c r="I10"/>
  <c r="U150"/>
  <c r="R150"/>
  <c r="N150"/>
  <c r="K80"/>
  <c r="H80"/>
  <c r="G10"/>
  <c r="E80"/>
  <c r="G150"/>
  <c r="G220" s="1"/>
  <c r="D10"/>
  <c r="D150"/>
  <c r="C80"/>
  <c r="D80"/>
  <c r="C10"/>
  <c r="C150"/>
  <c r="A11"/>
  <c r="D233" i="61"/>
  <c r="C230"/>
  <c r="C229" s="1"/>
  <c r="E234"/>
  <c r="E232" s="1"/>
  <c r="D230"/>
  <c r="E230"/>
  <c r="H228"/>
  <c r="K8" i="72"/>
  <c r="G149" i="97"/>
  <c r="G215" s="1"/>
  <c r="G50" i="109"/>
  <c r="G94" s="1"/>
  <c r="I149" i="66"/>
  <c r="I94" s="1"/>
  <c r="H12" i="109"/>
  <c r="H11" s="1"/>
  <c r="G110"/>
  <c r="K110" s="1"/>
  <c r="A14" i="84"/>
  <c r="G228" i="61"/>
  <c r="H10" i="66"/>
  <c r="H214" s="1"/>
  <c r="H213" s="1"/>
  <c r="H176"/>
  <c r="H208" s="1"/>
  <c r="G50" i="67"/>
  <c r="G94" s="1"/>
  <c r="K94" s="1"/>
  <c r="H94" i="66"/>
  <c r="H88" s="1"/>
  <c r="H87" s="1"/>
  <c r="H86" s="1"/>
  <c r="I70"/>
  <c r="I94" i="109"/>
  <c r="I116"/>
  <c r="I109" s="1"/>
  <c r="I176" s="1"/>
  <c r="I116" i="97"/>
  <c r="I109" s="1"/>
  <c r="H94" i="109"/>
  <c r="H88" s="1"/>
  <c r="H87" s="1"/>
  <c r="H86" s="1"/>
  <c r="H227" i="67"/>
  <c r="H225" s="1"/>
  <c r="H179"/>
  <c r="H178" s="1"/>
  <c r="H177" s="1"/>
  <c r="H207" s="1"/>
  <c r="H176" i="109"/>
  <c r="I228" i="61"/>
  <c r="I215" i="109"/>
  <c r="H215"/>
  <c r="H116" i="67"/>
  <c r="H109" s="1"/>
  <c r="G94" i="66"/>
  <c r="G215"/>
  <c r="K215" s="1"/>
  <c r="I25" i="67"/>
  <c r="I10" s="1"/>
  <c r="I70" s="1"/>
  <c r="I116"/>
  <c r="I109" s="1"/>
  <c r="I215" i="97"/>
  <c r="I149" i="67"/>
  <c r="G227" i="66"/>
  <c r="G225" s="1"/>
  <c r="G179"/>
  <c r="G178" s="1"/>
  <c r="G177" s="1"/>
  <c r="G207" s="1"/>
  <c r="H215" i="97"/>
  <c r="K215" s="1"/>
  <c r="I227" i="67"/>
  <c r="I225" s="1"/>
  <c r="I179"/>
  <c r="I178" s="1"/>
  <c r="I177" s="1"/>
  <c r="I207" s="1"/>
  <c r="H179" i="97"/>
  <c r="H178" s="1"/>
  <c r="H177" s="1"/>
  <c r="H207" s="1"/>
  <c r="H227"/>
  <c r="H225" s="1"/>
  <c r="I179" i="109"/>
  <c r="I178" s="1"/>
  <c r="I177" s="1"/>
  <c r="I207" s="1"/>
  <c r="I227"/>
  <c r="I225" s="1"/>
  <c r="G25" i="67"/>
  <c r="G10" s="1"/>
  <c r="K10" s="1"/>
  <c r="H179" i="109"/>
  <c r="H178" s="1"/>
  <c r="H177" s="1"/>
  <c r="H207" s="1"/>
  <c r="H227"/>
  <c r="H225" s="1"/>
  <c r="G32" i="97"/>
  <c r="I179"/>
  <c r="I178" s="1"/>
  <c r="I177" s="1"/>
  <c r="I207" s="1"/>
  <c r="I227"/>
  <c r="I225" s="1"/>
  <c r="G25"/>
  <c r="G32" i="66"/>
  <c r="H32" i="97"/>
  <c r="H10" s="1"/>
  <c r="G116"/>
  <c r="G109" s="1"/>
  <c r="H32" i="109"/>
  <c r="G116" i="67"/>
  <c r="K116" s="1"/>
  <c r="P35" i="69"/>
  <c r="I70" i="109"/>
  <c r="G110" i="67"/>
  <c r="K110" s="1"/>
  <c r="H176" i="97"/>
  <c r="K176" s="1"/>
  <c r="G110" i="66"/>
  <c r="H94" i="97"/>
  <c r="K94" s="1"/>
  <c r="I94"/>
  <c r="I70"/>
  <c r="G35" i="69"/>
  <c r="O35"/>
  <c r="H231" i="67"/>
  <c r="H229" s="1"/>
  <c r="H228" s="1"/>
  <c r="H88"/>
  <c r="H87" s="1"/>
  <c r="H86" s="1"/>
  <c r="I35" i="69"/>
  <c r="H35"/>
  <c r="I214" i="66"/>
  <c r="Q35" i="69"/>
  <c r="R220" i="85" l="1"/>
  <c r="N220"/>
  <c r="I220"/>
  <c r="H220"/>
  <c r="D220"/>
  <c r="C220"/>
  <c r="F220"/>
  <c r="J219"/>
  <c r="E220"/>
  <c r="O220"/>
  <c r="Q220"/>
  <c r="P220"/>
  <c r="M220"/>
  <c r="T218"/>
  <c r="L220"/>
  <c r="S219"/>
  <c r="K220"/>
  <c r="U220"/>
  <c r="E229" i="61"/>
  <c r="M229" s="1"/>
  <c r="M230"/>
  <c r="D229"/>
  <c r="F230"/>
  <c r="G10" i="66"/>
  <c r="K32"/>
  <c r="G88"/>
  <c r="K94"/>
  <c r="G109"/>
  <c r="K109" s="1"/>
  <c r="K110"/>
  <c r="H214" i="97"/>
  <c r="K214" s="1"/>
  <c r="K10"/>
  <c r="G231" i="109"/>
  <c r="K94"/>
  <c r="T149" i="85"/>
  <c r="T79"/>
  <c r="S80"/>
  <c r="J80"/>
  <c r="S150"/>
  <c r="J150"/>
  <c r="O11"/>
  <c r="N11"/>
  <c r="N151"/>
  <c r="M81"/>
  <c r="L11"/>
  <c r="L151"/>
  <c r="K81"/>
  <c r="I81"/>
  <c r="R11"/>
  <c r="Q11"/>
  <c r="Q151"/>
  <c r="P81"/>
  <c r="O81"/>
  <c r="I151"/>
  <c r="R151"/>
  <c r="O151"/>
  <c r="L81"/>
  <c r="H81"/>
  <c r="G11"/>
  <c r="G151"/>
  <c r="G221" s="1"/>
  <c r="H11"/>
  <c r="H151"/>
  <c r="Q81"/>
  <c r="N81"/>
  <c r="K11"/>
  <c r="F11"/>
  <c r="E11"/>
  <c r="E151"/>
  <c r="K151"/>
  <c r="F81"/>
  <c r="P11"/>
  <c r="M11"/>
  <c r="R81"/>
  <c r="P151"/>
  <c r="M151"/>
  <c r="I11"/>
  <c r="F151"/>
  <c r="E81"/>
  <c r="D11"/>
  <c r="D151"/>
  <c r="C81"/>
  <c r="D81"/>
  <c r="C11"/>
  <c r="C151"/>
  <c r="A12"/>
  <c r="C233" i="61"/>
  <c r="D234"/>
  <c r="D232" s="1"/>
  <c r="C234"/>
  <c r="L8" i="72"/>
  <c r="G176" i="97"/>
  <c r="G208" s="1"/>
  <c r="G94"/>
  <c r="I176" i="66"/>
  <c r="I208" s="1"/>
  <c r="G215" i="109"/>
  <c r="K215" s="1"/>
  <c r="I215" i="66"/>
  <c r="I213" s="1"/>
  <c r="H10" i="109"/>
  <c r="H214" s="1"/>
  <c r="H213" s="1"/>
  <c r="G25"/>
  <c r="G32"/>
  <c r="G223"/>
  <c r="G109"/>
  <c r="A15" i="84"/>
  <c r="I88" i="109"/>
  <c r="I87" s="1"/>
  <c r="I86" s="1"/>
  <c r="H224" i="66"/>
  <c r="H222" s="1"/>
  <c r="H221" s="1"/>
  <c r="H70"/>
  <c r="H231"/>
  <c r="H229" s="1"/>
  <c r="H228" s="1"/>
  <c r="G88" i="109"/>
  <c r="G231" i="66"/>
  <c r="G88" i="67"/>
  <c r="G231"/>
  <c r="G215"/>
  <c r="K215" s="1"/>
  <c r="G70"/>
  <c r="K70" s="1"/>
  <c r="H73"/>
  <c r="H72" s="1"/>
  <c r="H71" s="1"/>
  <c r="H101" s="1"/>
  <c r="H102" s="1"/>
  <c r="H231" i="109"/>
  <c r="H229" s="1"/>
  <c r="H228" s="1"/>
  <c r="I231"/>
  <c r="I229" s="1"/>
  <c r="I228" s="1"/>
  <c r="I214"/>
  <c r="I213" s="1"/>
  <c r="H224" i="97"/>
  <c r="H222" s="1"/>
  <c r="H221" s="1"/>
  <c r="I208" i="109"/>
  <c r="H208" i="97"/>
  <c r="K208" s="1"/>
  <c r="I73"/>
  <c r="I72" s="1"/>
  <c r="I71" s="1"/>
  <c r="H208" i="109"/>
  <c r="I176" i="97"/>
  <c r="I208" s="1"/>
  <c r="I214"/>
  <c r="I213" s="1"/>
  <c r="I214" i="67"/>
  <c r="H176"/>
  <c r="H208" s="1"/>
  <c r="H214"/>
  <c r="H213" s="1"/>
  <c r="I94"/>
  <c r="I215"/>
  <c r="I176"/>
  <c r="I208" s="1"/>
  <c r="I231" i="66"/>
  <c r="I229" s="1"/>
  <c r="I228" s="1"/>
  <c r="I88"/>
  <c r="I87" s="1"/>
  <c r="I86" s="1"/>
  <c r="H70" i="97"/>
  <c r="K70" s="1"/>
  <c r="G10"/>
  <c r="I224" i="67"/>
  <c r="I222" s="1"/>
  <c r="I221" s="1"/>
  <c r="G109"/>
  <c r="H88" i="97"/>
  <c r="H231"/>
  <c r="I231"/>
  <c r="I229" s="1"/>
  <c r="I228" s="1"/>
  <c r="I88"/>
  <c r="I87" s="1"/>
  <c r="I86" s="1"/>
  <c r="I73" i="66"/>
  <c r="I72" s="1"/>
  <c r="I71" s="1"/>
  <c r="I224"/>
  <c r="I222" s="1"/>
  <c r="I221" s="1"/>
  <c r="R221" i="85" l="1"/>
  <c r="N221"/>
  <c r="I221"/>
  <c r="H221"/>
  <c r="D221"/>
  <c r="C221"/>
  <c r="F221"/>
  <c r="E221"/>
  <c r="J220"/>
  <c r="O221"/>
  <c r="Q221"/>
  <c r="P221"/>
  <c r="M221"/>
  <c r="T219"/>
  <c r="L221"/>
  <c r="K221"/>
  <c r="S220"/>
  <c r="M8" i="72"/>
  <c r="N8" s="1"/>
  <c r="O8" s="1"/>
  <c r="P8" s="1"/>
  <c r="Q8" s="1"/>
  <c r="R8" s="1"/>
  <c r="S8" s="1"/>
  <c r="T8" s="1"/>
  <c r="U8" s="1"/>
  <c r="V8" s="1"/>
  <c r="W8" s="1"/>
  <c r="X8" s="1"/>
  <c r="E228" i="61"/>
  <c r="M228" s="1"/>
  <c r="F229"/>
  <c r="D228"/>
  <c r="G70" i="66"/>
  <c r="K70" s="1"/>
  <c r="K10"/>
  <c r="G229"/>
  <c r="K231"/>
  <c r="G87"/>
  <c r="K88"/>
  <c r="G176"/>
  <c r="G214"/>
  <c r="K79"/>
  <c r="K79" i="67"/>
  <c r="K109"/>
  <c r="G87"/>
  <c r="K88"/>
  <c r="G229"/>
  <c r="K231"/>
  <c r="H229" i="97"/>
  <c r="K231"/>
  <c r="H87"/>
  <c r="K88"/>
  <c r="H213"/>
  <c r="K213" s="1"/>
  <c r="G87" i="109"/>
  <c r="K88"/>
  <c r="G229"/>
  <c r="K231"/>
  <c r="G176"/>
  <c r="K109"/>
  <c r="T80" i="85"/>
  <c r="T150"/>
  <c r="J151"/>
  <c r="J81"/>
  <c r="S151"/>
  <c r="S81"/>
  <c r="R152"/>
  <c r="Q82"/>
  <c r="P12"/>
  <c r="P152"/>
  <c r="I12"/>
  <c r="U152"/>
  <c r="U222" s="1"/>
  <c r="O12"/>
  <c r="N12"/>
  <c r="N152"/>
  <c r="M82"/>
  <c r="L12"/>
  <c r="L152"/>
  <c r="K82"/>
  <c r="I82"/>
  <c r="R82"/>
  <c r="Q152"/>
  <c r="M152"/>
  <c r="F152"/>
  <c r="E82"/>
  <c r="P82"/>
  <c r="O152"/>
  <c r="L82"/>
  <c r="H82"/>
  <c r="G12"/>
  <c r="G152"/>
  <c r="G222" s="1"/>
  <c r="K12"/>
  <c r="E12"/>
  <c r="R12"/>
  <c r="N82"/>
  <c r="F12"/>
  <c r="U12"/>
  <c r="Q12"/>
  <c r="O82"/>
  <c r="M12"/>
  <c r="K152"/>
  <c r="I152"/>
  <c r="H12"/>
  <c r="H152"/>
  <c r="F82"/>
  <c r="E152"/>
  <c r="D82"/>
  <c r="C12"/>
  <c r="C152"/>
  <c r="D12"/>
  <c r="D152"/>
  <c r="C82"/>
  <c r="A13"/>
  <c r="C232" i="61"/>
  <c r="C228" s="1"/>
  <c r="G10" i="109"/>
  <c r="G70" s="1"/>
  <c r="G231" i="97"/>
  <c r="G229" s="1"/>
  <c r="G228" s="1"/>
  <c r="G88"/>
  <c r="G87" s="1"/>
  <c r="G86" s="1"/>
  <c r="H73" i="109"/>
  <c r="H72" s="1"/>
  <c r="H71" s="1"/>
  <c r="H101" s="1"/>
  <c r="H70"/>
  <c r="H73" i="66"/>
  <c r="H72" s="1"/>
  <c r="H71" s="1"/>
  <c r="H101" s="1"/>
  <c r="H102" s="1"/>
  <c r="H220"/>
  <c r="A16" i="84"/>
  <c r="I73" i="109"/>
  <c r="I72" s="1"/>
  <c r="I71" s="1"/>
  <c r="I101" s="1"/>
  <c r="I102" s="1"/>
  <c r="I224"/>
  <c r="I222" s="1"/>
  <c r="I221" s="1"/>
  <c r="I220" s="1"/>
  <c r="H224" i="67"/>
  <c r="H222" s="1"/>
  <c r="H221" s="1"/>
  <c r="H220" s="1"/>
  <c r="I73"/>
  <c r="I72" s="1"/>
  <c r="I71" s="1"/>
  <c r="I213"/>
  <c r="I220" i="66"/>
  <c r="H73" i="97"/>
  <c r="H72" s="1"/>
  <c r="H71" s="1"/>
  <c r="I224"/>
  <c r="I222" s="1"/>
  <c r="I221" s="1"/>
  <c r="I220" s="1"/>
  <c r="I101" i="66"/>
  <c r="I102" s="1"/>
  <c r="I231" i="67"/>
  <c r="I229" s="1"/>
  <c r="I228" s="1"/>
  <c r="I220" s="1"/>
  <c r="I88"/>
  <c r="I87" s="1"/>
  <c r="I86" s="1"/>
  <c r="G214" i="97"/>
  <c r="G213" s="1"/>
  <c r="G70"/>
  <c r="G214" i="67"/>
  <c r="G176"/>
  <c r="I101" i="97"/>
  <c r="I102" s="1"/>
  <c r="G73" i="67"/>
  <c r="G224"/>
  <c r="R222" i="85" l="1"/>
  <c r="N222"/>
  <c r="I222"/>
  <c r="H222"/>
  <c r="D222"/>
  <c r="J221"/>
  <c r="C222"/>
  <c r="F222"/>
  <c r="E222"/>
  <c r="O222"/>
  <c r="Q222"/>
  <c r="P222"/>
  <c r="M222"/>
  <c r="S221"/>
  <c r="L222"/>
  <c r="T220"/>
  <c r="K222"/>
  <c r="Y8" i="72"/>
  <c r="F228" i="61"/>
  <c r="G86" i="66"/>
  <c r="K86" s="1"/>
  <c r="K87"/>
  <c r="G228"/>
  <c r="K228" s="1"/>
  <c r="K229"/>
  <c r="G224"/>
  <c r="G213"/>
  <c r="K213" s="1"/>
  <c r="K214"/>
  <c r="G208"/>
  <c r="K208" s="1"/>
  <c r="K176"/>
  <c r="G73"/>
  <c r="G213" i="67"/>
  <c r="K213" s="1"/>
  <c r="K214"/>
  <c r="G222"/>
  <c r="K224"/>
  <c r="G72"/>
  <c r="K73"/>
  <c r="G86"/>
  <c r="K86" s="1"/>
  <c r="K87"/>
  <c r="G228"/>
  <c r="K228" s="1"/>
  <c r="K229"/>
  <c r="G208"/>
  <c r="K208" s="1"/>
  <c r="K176"/>
  <c r="H228" i="97"/>
  <c r="K229"/>
  <c r="H86"/>
  <c r="K86" s="1"/>
  <c r="K87"/>
  <c r="G86" i="109"/>
  <c r="K86" s="1"/>
  <c r="K87"/>
  <c r="G228"/>
  <c r="K228" s="1"/>
  <c r="K229"/>
  <c r="G208"/>
  <c r="K208" s="1"/>
  <c r="K176"/>
  <c r="T81" i="85"/>
  <c r="T151"/>
  <c r="S152"/>
  <c r="U13"/>
  <c r="U14" s="1"/>
  <c r="U84"/>
  <c r="U154"/>
  <c r="J82"/>
  <c r="J152"/>
  <c r="S82"/>
  <c r="R83"/>
  <c r="R84" s="1"/>
  <c r="O153"/>
  <c r="N83"/>
  <c r="N84" s="1"/>
  <c r="M13"/>
  <c r="M14" s="1"/>
  <c r="M153"/>
  <c r="L83"/>
  <c r="L84" s="1"/>
  <c r="K13"/>
  <c r="K14" s="1"/>
  <c r="K153"/>
  <c r="R153"/>
  <c r="Q83"/>
  <c r="Q84" s="1"/>
  <c r="P13"/>
  <c r="P14" s="1"/>
  <c r="P153"/>
  <c r="I13"/>
  <c r="I14" s="1"/>
  <c r="Q13"/>
  <c r="Q14" s="1"/>
  <c r="O83"/>
  <c r="O84" s="1"/>
  <c r="N153"/>
  <c r="K83"/>
  <c r="I153"/>
  <c r="H13"/>
  <c r="H14" s="1"/>
  <c r="H153"/>
  <c r="G84"/>
  <c r="F83"/>
  <c r="F84" s="1"/>
  <c r="H83"/>
  <c r="H84" s="1"/>
  <c r="G13"/>
  <c r="G14" s="1"/>
  <c r="Q153"/>
  <c r="O13"/>
  <c r="O14" s="1"/>
  <c r="M83"/>
  <c r="M84" s="1"/>
  <c r="I83"/>
  <c r="I84" s="1"/>
  <c r="F153"/>
  <c r="E83"/>
  <c r="E84" s="1"/>
  <c r="L13"/>
  <c r="L14" s="1"/>
  <c r="P83"/>
  <c r="P84" s="1"/>
  <c r="G153"/>
  <c r="R13"/>
  <c r="R14" s="1"/>
  <c r="N13"/>
  <c r="N14" s="1"/>
  <c r="L153"/>
  <c r="E13"/>
  <c r="E14" s="1"/>
  <c r="E153"/>
  <c r="F13"/>
  <c r="F14" s="1"/>
  <c r="D83"/>
  <c r="D84" s="1"/>
  <c r="C13"/>
  <c r="C153"/>
  <c r="D13"/>
  <c r="D14" s="1"/>
  <c r="D153"/>
  <c r="C83"/>
  <c r="A15"/>
  <c r="G73" i="109"/>
  <c r="G214"/>
  <c r="H224"/>
  <c r="H222" s="1"/>
  <c r="H221" s="1"/>
  <c r="H220" s="1"/>
  <c r="H102"/>
  <c r="A17" i="84"/>
  <c r="I101" i="67"/>
  <c r="I102" s="1"/>
  <c r="G73" i="97"/>
  <c r="G224"/>
  <c r="C223" i="85" l="1"/>
  <c r="J222"/>
  <c r="T221"/>
  <c r="S222"/>
  <c r="K223"/>
  <c r="D154"/>
  <c r="D224" s="1"/>
  <c r="D223"/>
  <c r="E154"/>
  <c r="E224" s="1"/>
  <c r="E223"/>
  <c r="F154"/>
  <c r="F224" s="1"/>
  <c r="F223"/>
  <c r="G154"/>
  <c r="G224" s="1"/>
  <c r="G223"/>
  <c r="H154"/>
  <c r="H224" s="1"/>
  <c r="H223"/>
  <c r="I154"/>
  <c r="I224" s="1"/>
  <c r="I223"/>
  <c r="R154"/>
  <c r="R224" s="1"/>
  <c r="R223"/>
  <c r="Q154"/>
  <c r="Q224" s="1"/>
  <c r="Q223"/>
  <c r="P154"/>
  <c r="P224" s="1"/>
  <c r="P223"/>
  <c r="O154"/>
  <c r="O224" s="1"/>
  <c r="O223"/>
  <c r="N154"/>
  <c r="N224" s="1"/>
  <c r="N223"/>
  <c r="M154"/>
  <c r="M224" s="1"/>
  <c r="M223"/>
  <c r="L154"/>
  <c r="L224" s="1"/>
  <c r="L223"/>
  <c r="U224"/>
  <c r="G72" i="66"/>
  <c r="K73"/>
  <c r="G222"/>
  <c r="K224"/>
  <c r="G71" i="67"/>
  <c r="K71" s="1"/>
  <c r="K72"/>
  <c r="G221"/>
  <c r="K221" s="1"/>
  <c r="K222"/>
  <c r="K228" i="97"/>
  <c r="H220"/>
  <c r="H101"/>
  <c r="H102" s="1"/>
  <c r="G222"/>
  <c r="K224"/>
  <c r="G72"/>
  <c r="K73"/>
  <c r="G213" i="109"/>
  <c r="K213" s="1"/>
  <c r="K214"/>
  <c r="G72"/>
  <c r="K73"/>
  <c r="T152" i="85"/>
  <c r="T82"/>
  <c r="J153"/>
  <c r="K84"/>
  <c r="S83"/>
  <c r="S84" s="1"/>
  <c r="J83"/>
  <c r="K154"/>
  <c r="S153"/>
  <c r="U85"/>
  <c r="R15"/>
  <c r="Q15"/>
  <c r="Q155"/>
  <c r="P85"/>
  <c r="O85"/>
  <c r="I155"/>
  <c r="U15"/>
  <c r="R85"/>
  <c r="O155"/>
  <c r="N85"/>
  <c r="M15"/>
  <c r="M155"/>
  <c r="L85"/>
  <c r="K15"/>
  <c r="K155"/>
  <c r="P155"/>
  <c r="N15"/>
  <c r="L155"/>
  <c r="I15"/>
  <c r="F15"/>
  <c r="E15"/>
  <c r="E155"/>
  <c r="I85"/>
  <c r="F155"/>
  <c r="U155"/>
  <c r="R155"/>
  <c r="N155"/>
  <c r="K85"/>
  <c r="H15"/>
  <c r="H155"/>
  <c r="F85"/>
  <c r="Q85"/>
  <c r="O15"/>
  <c r="M85"/>
  <c r="P15"/>
  <c r="L15"/>
  <c r="H85"/>
  <c r="G15"/>
  <c r="G155"/>
  <c r="G225" s="1"/>
  <c r="E85"/>
  <c r="C14"/>
  <c r="C84"/>
  <c r="C154"/>
  <c r="D15"/>
  <c r="D155"/>
  <c r="C85"/>
  <c r="D85"/>
  <c r="C15"/>
  <c r="C155"/>
  <c r="A16"/>
  <c r="G224" i="109"/>
  <c r="A18" i="84"/>
  <c r="R225" i="85" l="1"/>
  <c r="N225"/>
  <c r="I225"/>
  <c r="H225"/>
  <c r="D225"/>
  <c r="S223"/>
  <c r="T222"/>
  <c r="C225"/>
  <c r="C224"/>
  <c r="F225"/>
  <c r="E225"/>
  <c r="O225"/>
  <c r="Q225"/>
  <c r="P225"/>
  <c r="M225"/>
  <c r="L225"/>
  <c r="K225"/>
  <c r="K224"/>
  <c r="J154"/>
  <c r="J223"/>
  <c r="U225"/>
  <c r="G71" i="66"/>
  <c r="K72"/>
  <c r="G221"/>
  <c r="K222"/>
  <c r="G220" i="67"/>
  <c r="K220" s="1"/>
  <c r="G101"/>
  <c r="K101" s="1"/>
  <c r="G71" i="97"/>
  <c r="K72"/>
  <c r="G221"/>
  <c r="K222"/>
  <c r="G222" i="109"/>
  <c r="K224"/>
  <c r="G71"/>
  <c r="K72"/>
  <c r="T83" i="85"/>
  <c r="S154"/>
  <c r="S224" s="1"/>
  <c r="T153"/>
  <c r="J84"/>
  <c r="J155"/>
  <c r="J85"/>
  <c r="S155"/>
  <c r="S85"/>
  <c r="U156"/>
  <c r="U157" s="1"/>
  <c r="O16"/>
  <c r="O17" s="1"/>
  <c r="N16"/>
  <c r="N156"/>
  <c r="M86"/>
  <c r="M87" s="1"/>
  <c r="L16"/>
  <c r="L17" s="1"/>
  <c r="L156"/>
  <c r="K86"/>
  <c r="I86"/>
  <c r="I87" s="1"/>
  <c r="U86"/>
  <c r="R16"/>
  <c r="Q16"/>
  <c r="Q17" s="1"/>
  <c r="Q156"/>
  <c r="P86"/>
  <c r="P87" s="1"/>
  <c r="O86"/>
  <c r="O87" s="1"/>
  <c r="I156"/>
  <c r="U16"/>
  <c r="U17" s="1"/>
  <c r="P16"/>
  <c r="P17" s="1"/>
  <c r="M16"/>
  <c r="M17" s="1"/>
  <c r="K156"/>
  <c r="H86"/>
  <c r="H87" s="1"/>
  <c r="G16"/>
  <c r="G17" s="1"/>
  <c r="G156"/>
  <c r="H16"/>
  <c r="H17" s="1"/>
  <c r="H156"/>
  <c r="R86"/>
  <c r="R87" s="1"/>
  <c r="P156"/>
  <c r="M156"/>
  <c r="I16"/>
  <c r="I17" s="1"/>
  <c r="F16"/>
  <c r="F17" s="1"/>
  <c r="E16"/>
  <c r="E17" s="1"/>
  <c r="E156"/>
  <c r="L86"/>
  <c r="L87" s="1"/>
  <c r="F86"/>
  <c r="F87" s="1"/>
  <c r="R156"/>
  <c r="O156"/>
  <c r="G87"/>
  <c r="Q86"/>
  <c r="Q87" s="1"/>
  <c r="N86"/>
  <c r="N87" s="1"/>
  <c r="K16"/>
  <c r="K17" s="1"/>
  <c r="E86"/>
  <c r="E87" s="1"/>
  <c r="F156"/>
  <c r="N17"/>
  <c r="R17"/>
  <c r="D16"/>
  <c r="D17" s="1"/>
  <c r="D156"/>
  <c r="C86"/>
  <c r="D86"/>
  <c r="D87" s="1"/>
  <c r="C16"/>
  <c r="C156"/>
  <c r="A18"/>
  <c r="A19" i="84"/>
  <c r="J225" i="85" l="1"/>
  <c r="J224"/>
  <c r="C226"/>
  <c r="S225"/>
  <c r="T223"/>
  <c r="K226"/>
  <c r="D157"/>
  <c r="D227" s="1"/>
  <c r="D226"/>
  <c r="E157"/>
  <c r="E227" s="1"/>
  <c r="E226"/>
  <c r="F157"/>
  <c r="F227" s="1"/>
  <c r="F226"/>
  <c r="G157"/>
  <c r="G227" s="1"/>
  <c r="G226"/>
  <c r="H157"/>
  <c r="H227" s="1"/>
  <c r="H226"/>
  <c r="I157"/>
  <c r="I227" s="1"/>
  <c r="I226"/>
  <c r="R157"/>
  <c r="R227" s="1"/>
  <c r="R226"/>
  <c r="Q157"/>
  <c r="Q227" s="1"/>
  <c r="Q226"/>
  <c r="P157"/>
  <c r="P227" s="1"/>
  <c r="P226"/>
  <c r="O157"/>
  <c r="O227" s="1"/>
  <c r="O226"/>
  <c r="N157"/>
  <c r="N227" s="1"/>
  <c r="N226"/>
  <c r="M157"/>
  <c r="M227" s="1"/>
  <c r="M226"/>
  <c r="L157"/>
  <c r="L227" s="1"/>
  <c r="L226"/>
  <c r="U87"/>
  <c r="U227" s="1"/>
  <c r="U226"/>
  <c r="G101" i="66"/>
  <c r="K71"/>
  <c r="G220"/>
  <c r="K220" s="1"/>
  <c r="K221"/>
  <c r="G102" i="67"/>
  <c r="K102" s="1"/>
  <c r="G101" i="97"/>
  <c r="K71"/>
  <c r="G220"/>
  <c r="K220" s="1"/>
  <c r="K221"/>
  <c r="G221" i="109"/>
  <c r="K222"/>
  <c r="G101"/>
  <c r="K71"/>
  <c r="T155" i="85"/>
  <c r="T85"/>
  <c r="J156"/>
  <c r="J86"/>
  <c r="K157"/>
  <c r="S156"/>
  <c r="K87"/>
  <c r="S86"/>
  <c r="S87" s="1"/>
  <c r="U18"/>
  <c r="U19" s="1"/>
  <c r="U20" s="1"/>
  <c r="R158"/>
  <c r="Q88"/>
  <c r="Q89" s="1"/>
  <c r="Q90" s="1"/>
  <c r="P18"/>
  <c r="P19" s="1"/>
  <c r="P20" s="1"/>
  <c r="P158"/>
  <c r="I18"/>
  <c r="I19" s="1"/>
  <c r="I20" s="1"/>
  <c r="U158"/>
  <c r="U159" s="1"/>
  <c r="U160" s="1"/>
  <c r="O18"/>
  <c r="O19" s="1"/>
  <c r="O20" s="1"/>
  <c r="N18"/>
  <c r="N19" s="1"/>
  <c r="N20" s="1"/>
  <c r="N158"/>
  <c r="M88"/>
  <c r="M89" s="1"/>
  <c r="M90" s="1"/>
  <c r="L18"/>
  <c r="L19" s="1"/>
  <c r="L20" s="1"/>
  <c r="L158"/>
  <c r="K88"/>
  <c r="I88"/>
  <c r="I89" s="1"/>
  <c r="I90" s="1"/>
  <c r="R18"/>
  <c r="R19" s="1"/>
  <c r="R20" s="1"/>
  <c r="N88"/>
  <c r="N89" s="1"/>
  <c r="N90" s="1"/>
  <c r="K18"/>
  <c r="K19" s="1"/>
  <c r="K20" s="1"/>
  <c r="F158"/>
  <c r="E88"/>
  <c r="E89" s="1"/>
  <c r="E90" s="1"/>
  <c r="M158"/>
  <c r="F18"/>
  <c r="F19" s="1"/>
  <c r="F20" s="1"/>
  <c r="U88"/>
  <c r="Q18"/>
  <c r="Q19" s="1"/>
  <c r="Q20" s="1"/>
  <c r="O88"/>
  <c r="O89" s="1"/>
  <c r="O90" s="1"/>
  <c r="M18"/>
  <c r="M19" s="1"/>
  <c r="M20" s="1"/>
  <c r="K158"/>
  <c r="I158"/>
  <c r="H88"/>
  <c r="H89" s="1"/>
  <c r="H90" s="1"/>
  <c r="G18"/>
  <c r="G19" s="1"/>
  <c r="G20" s="1"/>
  <c r="G158"/>
  <c r="R88"/>
  <c r="R89" s="1"/>
  <c r="R90" s="1"/>
  <c r="Q158"/>
  <c r="E18"/>
  <c r="E19" s="1"/>
  <c r="E20" s="1"/>
  <c r="P88"/>
  <c r="P89" s="1"/>
  <c r="P90" s="1"/>
  <c r="O158"/>
  <c r="L88"/>
  <c r="L89" s="1"/>
  <c r="L90" s="1"/>
  <c r="H18"/>
  <c r="H19" s="1"/>
  <c r="H20" s="1"/>
  <c r="H158"/>
  <c r="F88"/>
  <c r="F89" s="1"/>
  <c r="F90" s="1"/>
  <c r="G89"/>
  <c r="G90" s="1"/>
  <c r="E158"/>
  <c r="C17"/>
  <c r="C87"/>
  <c r="C157"/>
  <c r="D88"/>
  <c r="D89" s="1"/>
  <c r="D90" s="1"/>
  <c r="C18"/>
  <c r="C158"/>
  <c r="D18"/>
  <c r="D19" s="1"/>
  <c r="D20" s="1"/>
  <c r="D158"/>
  <c r="C88"/>
  <c r="A22"/>
  <c r="A20" i="84"/>
  <c r="K227" i="85" l="1"/>
  <c r="C227"/>
  <c r="C228"/>
  <c r="S226"/>
  <c r="T225"/>
  <c r="K228"/>
  <c r="D159"/>
  <c r="D228"/>
  <c r="E159"/>
  <c r="E228"/>
  <c r="F159"/>
  <c r="F228"/>
  <c r="G159"/>
  <c r="G228"/>
  <c r="H159"/>
  <c r="H228"/>
  <c r="I159"/>
  <c r="I228"/>
  <c r="R159"/>
  <c r="R228"/>
  <c r="Q159"/>
  <c r="Q228"/>
  <c r="P159"/>
  <c r="P228"/>
  <c r="O159"/>
  <c r="O228"/>
  <c r="N159"/>
  <c r="N228"/>
  <c r="M159"/>
  <c r="M228"/>
  <c r="L159"/>
  <c r="L228"/>
  <c r="J157"/>
  <c r="J226"/>
  <c r="U89"/>
  <c r="U228"/>
  <c r="G102" i="66"/>
  <c r="K102" s="1"/>
  <c r="K101"/>
  <c r="G102" i="97"/>
  <c r="K102" s="1"/>
  <c r="K101"/>
  <c r="G102" i="109"/>
  <c r="K102" s="1"/>
  <c r="K101"/>
  <c r="G220"/>
  <c r="K220" s="1"/>
  <c r="K221"/>
  <c r="T86" i="85"/>
  <c r="S157"/>
  <c r="S227" s="1"/>
  <c r="T156"/>
  <c r="J87"/>
  <c r="J158"/>
  <c r="K89"/>
  <c r="K90" s="1"/>
  <c r="S88"/>
  <c r="S89" s="1"/>
  <c r="S90" s="1"/>
  <c r="K159"/>
  <c r="S158"/>
  <c r="J88"/>
  <c r="R92"/>
  <c r="O162"/>
  <c r="N92"/>
  <c r="M22"/>
  <c r="M162"/>
  <c r="L92"/>
  <c r="K22"/>
  <c r="K162"/>
  <c r="U22"/>
  <c r="R162"/>
  <c r="Q92"/>
  <c r="P22"/>
  <c r="P162"/>
  <c r="I22"/>
  <c r="P92"/>
  <c r="L22"/>
  <c r="H22"/>
  <c r="H162"/>
  <c r="F92"/>
  <c r="I162"/>
  <c r="H92"/>
  <c r="G162"/>
  <c r="G232" s="1"/>
  <c r="R22"/>
  <c r="N22"/>
  <c r="L162"/>
  <c r="F162"/>
  <c r="E92"/>
  <c r="K92"/>
  <c r="Q22"/>
  <c r="O92"/>
  <c r="N162"/>
  <c r="G22"/>
  <c r="Q162"/>
  <c r="O22"/>
  <c r="M92"/>
  <c r="I92"/>
  <c r="E22"/>
  <c r="F22"/>
  <c r="E162"/>
  <c r="C19"/>
  <c r="C20" s="1"/>
  <c r="C89"/>
  <c r="C90" s="1"/>
  <c r="C159"/>
  <c r="D92"/>
  <c r="C22"/>
  <c r="C162"/>
  <c r="D22"/>
  <c r="D162"/>
  <c r="C92"/>
  <c r="A23"/>
  <c r="A21" i="84"/>
  <c r="R232" i="85" l="1"/>
  <c r="N232"/>
  <c r="I232"/>
  <c r="H232"/>
  <c r="D232"/>
  <c r="C232"/>
  <c r="F232"/>
  <c r="J227"/>
  <c r="E232"/>
  <c r="O232"/>
  <c r="Q232"/>
  <c r="T226"/>
  <c r="P232"/>
  <c r="M232"/>
  <c r="L232"/>
  <c r="K232"/>
  <c r="S228"/>
  <c r="D160"/>
  <c r="D230" s="1"/>
  <c r="D229"/>
  <c r="E160"/>
  <c r="E230" s="1"/>
  <c r="E229"/>
  <c r="F160"/>
  <c r="F230" s="1"/>
  <c r="F229"/>
  <c r="G160"/>
  <c r="G230" s="1"/>
  <c r="G229"/>
  <c r="H160"/>
  <c r="H230" s="1"/>
  <c r="H229"/>
  <c r="I160"/>
  <c r="I230" s="1"/>
  <c r="I229"/>
  <c r="R160"/>
  <c r="R230" s="1"/>
  <c r="R229"/>
  <c r="Q160"/>
  <c r="Q230" s="1"/>
  <c r="Q229"/>
  <c r="P160"/>
  <c r="P230" s="1"/>
  <c r="P229"/>
  <c r="O160"/>
  <c r="O230" s="1"/>
  <c r="O229"/>
  <c r="N160"/>
  <c r="N230" s="1"/>
  <c r="N229"/>
  <c r="M160"/>
  <c r="M230" s="1"/>
  <c r="M229"/>
  <c r="L160"/>
  <c r="L230" s="1"/>
  <c r="L229"/>
  <c r="K160"/>
  <c r="K230" s="1"/>
  <c r="K229"/>
  <c r="J159"/>
  <c r="J228"/>
  <c r="C160"/>
  <c r="C230" s="1"/>
  <c r="C229"/>
  <c r="U90"/>
  <c r="U230" s="1"/>
  <c r="U229"/>
  <c r="S159"/>
  <c r="T158"/>
  <c r="T88"/>
  <c r="J89"/>
  <c r="J90" s="1"/>
  <c r="J162"/>
  <c r="S162"/>
  <c r="S92"/>
  <c r="J92"/>
  <c r="U93"/>
  <c r="R23"/>
  <c r="Q23"/>
  <c r="Q163"/>
  <c r="P93"/>
  <c r="O93"/>
  <c r="I163"/>
  <c r="R93"/>
  <c r="O163"/>
  <c r="N93"/>
  <c r="M23"/>
  <c r="M163"/>
  <c r="L93"/>
  <c r="K23"/>
  <c r="K163"/>
  <c r="Q93"/>
  <c r="O23"/>
  <c r="M93"/>
  <c r="I93"/>
  <c r="F23"/>
  <c r="E23"/>
  <c r="E163"/>
  <c r="L163"/>
  <c r="P23"/>
  <c r="L23"/>
  <c r="H23"/>
  <c r="H163"/>
  <c r="F93"/>
  <c r="I23"/>
  <c r="U23"/>
  <c r="P163"/>
  <c r="N23"/>
  <c r="F163"/>
  <c r="R163"/>
  <c r="N163"/>
  <c r="K93"/>
  <c r="H93"/>
  <c r="G23"/>
  <c r="E93"/>
  <c r="G163"/>
  <c r="G233" s="1"/>
  <c r="D23"/>
  <c r="D163"/>
  <c r="C93"/>
  <c r="D93"/>
  <c r="C23"/>
  <c r="C163"/>
  <c r="A24"/>
  <c r="A22" i="84"/>
  <c r="R233" i="85" l="1"/>
  <c r="N233"/>
  <c r="J232"/>
  <c r="I233"/>
  <c r="H233"/>
  <c r="D233"/>
  <c r="C233"/>
  <c r="F233"/>
  <c r="E233"/>
  <c r="O233"/>
  <c r="S232"/>
  <c r="Q233"/>
  <c r="P233"/>
  <c r="M233"/>
  <c r="T228"/>
  <c r="L233"/>
  <c r="K233"/>
  <c r="S160"/>
  <c r="S230" s="1"/>
  <c r="S229"/>
  <c r="J160"/>
  <c r="J230" s="1"/>
  <c r="J229"/>
  <c r="U233"/>
  <c r="T162"/>
  <c r="T92"/>
  <c r="S93"/>
  <c r="S163"/>
  <c r="J163"/>
  <c r="J93"/>
  <c r="U165"/>
  <c r="O24"/>
  <c r="O25" s="1"/>
  <c r="N24"/>
  <c r="N25" s="1"/>
  <c r="N164"/>
  <c r="M94"/>
  <c r="M95" s="1"/>
  <c r="L24"/>
  <c r="L25" s="1"/>
  <c r="L164"/>
  <c r="K94"/>
  <c r="I94"/>
  <c r="I95" s="1"/>
  <c r="U95"/>
  <c r="R24"/>
  <c r="R25" s="1"/>
  <c r="Q24"/>
  <c r="Q25" s="1"/>
  <c r="Q164"/>
  <c r="P94"/>
  <c r="P95" s="1"/>
  <c r="O94"/>
  <c r="O95" s="1"/>
  <c r="I164"/>
  <c r="R164"/>
  <c r="O164"/>
  <c r="L94"/>
  <c r="L95" s="1"/>
  <c r="H94"/>
  <c r="H95" s="1"/>
  <c r="G24"/>
  <c r="G25" s="1"/>
  <c r="G164"/>
  <c r="K164"/>
  <c r="H24"/>
  <c r="H25" s="1"/>
  <c r="H164"/>
  <c r="G95"/>
  <c r="F94"/>
  <c r="F95" s="1"/>
  <c r="Q94"/>
  <c r="Q95" s="1"/>
  <c r="N94"/>
  <c r="N95" s="1"/>
  <c r="K24"/>
  <c r="K25" s="1"/>
  <c r="F24"/>
  <c r="F25" s="1"/>
  <c r="E24"/>
  <c r="E25" s="1"/>
  <c r="E164"/>
  <c r="P24"/>
  <c r="P25" s="1"/>
  <c r="M24"/>
  <c r="M25" s="1"/>
  <c r="U24"/>
  <c r="U25" s="1"/>
  <c r="R94"/>
  <c r="R95" s="1"/>
  <c r="P164"/>
  <c r="M164"/>
  <c r="I24"/>
  <c r="I25" s="1"/>
  <c r="E94"/>
  <c r="E95" s="1"/>
  <c r="F164"/>
  <c r="D24"/>
  <c r="D25" s="1"/>
  <c r="D164"/>
  <c r="C94"/>
  <c r="D94"/>
  <c r="D95" s="1"/>
  <c r="C24"/>
  <c r="C164"/>
  <c r="A26"/>
  <c r="A23" i="84"/>
  <c r="J233" i="85" l="1"/>
  <c r="C234"/>
  <c r="T232"/>
  <c r="S233"/>
  <c r="K234"/>
  <c r="D165"/>
  <c r="D235" s="1"/>
  <c r="D234"/>
  <c r="E165"/>
  <c r="E235" s="1"/>
  <c r="E234"/>
  <c r="F165"/>
  <c r="F235" s="1"/>
  <c r="F234"/>
  <c r="G165"/>
  <c r="G235" s="1"/>
  <c r="G234"/>
  <c r="H165"/>
  <c r="H235" s="1"/>
  <c r="H234"/>
  <c r="I165"/>
  <c r="I235" s="1"/>
  <c r="I234"/>
  <c r="R165"/>
  <c r="R235" s="1"/>
  <c r="R234"/>
  <c r="Q165"/>
  <c r="Q235" s="1"/>
  <c r="Q234"/>
  <c r="P165"/>
  <c r="P235" s="1"/>
  <c r="P234"/>
  <c r="O165"/>
  <c r="O235" s="1"/>
  <c r="O234"/>
  <c r="N165"/>
  <c r="N235" s="1"/>
  <c r="N234"/>
  <c r="M165"/>
  <c r="M235" s="1"/>
  <c r="M234"/>
  <c r="L165"/>
  <c r="L235" s="1"/>
  <c r="L234"/>
  <c r="U235"/>
  <c r="T93"/>
  <c r="T163"/>
  <c r="K165"/>
  <c r="S164"/>
  <c r="K95"/>
  <c r="S94"/>
  <c r="S95" s="1"/>
  <c r="J164"/>
  <c r="J94"/>
  <c r="U26"/>
  <c r="R166"/>
  <c r="Q96"/>
  <c r="P26"/>
  <c r="P166"/>
  <c r="I26"/>
  <c r="H26"/>
  <c r="U166"/>
  <c r="O26"/>
  <c r="N26"/>
  <c r="N166"/>
  <c r="M96"/>
  <c r="L26"/>
  <c r="L166"/>
  <c r="K96"/>
  <c r="I96"/>
  <c r="R96"/>
  <c r="Q166"/>
  <c r="M166"/>
  <c r="F166"/>
  <c r="E96"/>
  <c r="K26"/>
  <c r="P96"/>
  <c r="O166"/>
  <c r="L96"/>
  <c r="H96"/>
  <c r="G26"/>
  <c r="G166"/>
  <c r="G236" s="1"/>
  <c r="N96"/>
  <c r="F26"/>
  <c r="E26"/>
  <c r="R26"/>
  <c r="U96"/>
  <c r="Q26"/>
  <c r="O96"/>
  <c r="M26"/>
  <c r="K166"/>
  <c r="I166"/>
  <c r="H166"/>
  <c r="E166"/>
  <c r="F96"/>
  <c r="C25"/>
  <c r="C95"/>
  <c r="C165"/>
  <c r="D96"/>
  <c r="C26"/>
  <c r="C166"/>
  <c r="D26"/>
  <c r="D166"/>
  <c r="C96"/>
  <c r="A27"/>
  <c r="A24" i="84"/>
  <c r="R236" i="85" l="1"/>
  <c r="N236"/>
  <c r="I236"/>
  <c r="H236"/>
  <c r="D236"/>
  <c r="C236"/>
  <c r="C235"/>
  <c r="F236"/>
  <c r="E236"/>
  <c r="S234"/>
  <c r="O236"/>
  <c r="Q236"/>
  <c r="P236"/>
  <c r="M236"/>
  <c r="L236"/>
  <c r="K236"/>
  <c r="T233"/>
  <c r="K235"/>
  <c r="J165"/>
  <c r="J234"/>
  <c r="U236"/>
  <c r="S165"/>
  <c r="S235" s="1"/>
  <c r="T164"/>
  <c r="T94"/>
  <c r="J95"/>
  <c r="J96"/>
  <c r="S96"/>
  <c r="J166"/>
  <c r="S166"/>
  <c r="R97"/>
  <c r="O167"/>
  <c r="N97"/>
  <c r="M27"/>
  <c r="M167"/>
  <c r="L97"/>
  <c r="K27"/>
  <c r="K167"/>
  <c r="U27"/>
  <c r="R167"/>
  <c r="Q97"/>
  <c r="P27"/>
  <c r="P167"/>
  <c r="I27"/>
  <c r="U97"/>
  <c r="U167"/>
  <c r="Q27"/>
  <c r="O97"/>
  <c r="N167"/>
  <c r="K97"/>
  <c r="I167"/>
  <c r="H167"/>
  <c r="F97"/>
  <c r="H97"/>
  <c r="G27"/>
  <c r="G167"/>
  <c r="G237" s="1"/>
  <c r="Q167"/>
  <c r="O27"/>
  <c r="M97"/>
  <c r="I97"/>
  <c r="F167"/>
  <c r="E97"/>
  <c r="L27"/>
  <c r="P97"/>
  <c r="R27"/>
  <c r="N27"/>
  <c r="L167"/>
  <c r="H27"/>
  <c r="F27"/>
  <c r="E167"/>
  <c r="E27"/>
  <c r="D97"/>
  <c r="C27"/>
  <c r="C167"/>
  <c r="D27"/>
  <c r="D167"/>
  <c r="C97"/>
  <c r="A28"/>
  <c r="A25" i="84"/>
  <c r="R237" i="85" l="1"/>
  <c r="N237"/>
  <c r="I237"/>
  <c r="H237"/>
  <c r="D237"/>
  <c r="C237"/>
  <c r="F237"/>
  <c r="J235"/>
  <c r="J236"/>
  <c r="E237"/>
  <c r="O237"/>
  <c r="Q237"/>
  <c r="P237"/>
  <c r="M237"/>
  <c r="L237"/>
  <c r="S236"/>
  <c r="K237"/>
  <c r="T234"/>
  <c r="U237"/>
  <c r="T166"/>
  <c r="T96"/>
  <c r="J97"/>
  <c r="J167"/>
  <c r="S97"/>
  <c r="S167"/>
  <c r="U98"/>
  <c r="R28"/>
  <c r="R29" s="1"/>
  <c r="Q28"/>
  <c r="Q29" s="1"/>
  <c r="Q168"/>
  <c r="P98"/>
  <c r="P99" s="1"/>
  <c r="O98"/>
  <c r="O99" s="1"/>
  <c r="I168"/>
  <c r="R98"/>
  <c r="R99" s="1"/>
  <c r="O168"/>
  <c r="N98"/>
  <c r="N99" s="1"/>
  <c r="M28"/>
  <c r="M29" s="1"/>
  <c r="M168"/>
  <c r="L98"/>
  <c r="L99" s="1"/>
  <c r="K28"/>
  <c r="K29" s="1"/>
  <c r="K168"/>
  <c r="U28"/>
  <c r="U29" s="1"/>
  <c r="P168"/>
  <c r="N28"/>
  <c r="N29" s="1"/>
  <c r="L168"/>
  <c r="I28"/>
  <c r="I29" s="1"/>
  <c r="H28"/>
  <c r="H29" s="1"/>
  <c r="F28"/>
  <c r="F29" s="1"/>
  <c r="E28"/>
  <c r="E29" s="1"/>
  <c r="E168"/>
  <c r="U168"/>
  <c r="U169" s="1"/>
  <c r="R168"/>
  <c r="N168"/>
  <c r="K98"/>
  <c r="H168"/>
  <c r="G99"/>
  <c r="F98"/>
  <c r="F99" s="1"/>
  <c r="I98"/>
  <c r="I99" s="1"/>
  <c r="F168"/>
  <c r="Q98"/>
  <c r="Q99" s="1"/>
  <c r="O28"/>
  <c r="O29" s="1"/>
  <c r="M98"/>
  <c r="M99" s="1"/>
  <c r="P28"/>
  <c r="P29" s="1"/>
  <c r="L28"/>
  <c r="L29" s="1"/>
  <c r="H98"/>
  <c r="H99" s="1"/>
  <c r="G28"/>
  <c r="G29" s="1"/>
  <c r="G168"/>
  <c r="E98"/>
  <c r="E99" s="1"/>
  <c r="D28"/>
  <c r="D29" s="1"/>
  <c r="D168"/>
  <c r="C98"/>
  <c r="D98"/>
  <c r="D99" s="1"/>
  <c r="C28"/>
  <c r="C168"/>
  <c r="A30"/>
  <c r="A26" i="84"/>
  <c r="C238" i="85" l="1"/>
  <c r="J237"/>
  <c r="T236"/>
  <c r="K238"/>
  <c r="S237"/>
  <c r="D169"/>
  <c r="D239" s="1"/>
  <c r="D238"/>
  <c r="E169"/>
  <c r="E239" s="1"/>
  <c r="E238"/>
  <c r="F169"/>
  <c r="F239" s="1"/>
  <c r="F238"/>
  <c r="G169"/>
  <c r="G239" s="1"/>
  <c r="G238"/>
  <c r="H169"/>
  <c r="H239" s="1"/>
  <c r="H238"/>
  <c r="I169"/>
  <c r="I239" s="1"/>
  <c r="I238"/>
  <c r="R169"/>
  <c r="R239" s="1"/>
  <c r="R238"/>
  <c r="Q169"/>
  <c r="Q239" s="1"/>
  <c r="Q238"/>
  <c r="P169"/>
  <c r="P239" s="1"/>
  <c r="P238"/>
  <c r="O169"/>
  <c r="O239" s="1"/>
  <c r="O238"/>
  <c r="N169"/>
  <c r="N239" s="1"/>
  <c r="N238"/>
  <c r="M169"/>
  <c r="M239" s="1"/>
  <c r="M238"/>
  <c r="L169"/>
  <c r="L239" s="1"/>
  <c r="L238"/>
  <c r="U99"/>
  <c r="U239" s="1"/>
  <c r="U238"/>
  <c r="T167"/>
  <c r="T97"/>
  <c r="K99"/>
  <c r="S98"/>
  <c r="S99" s="1"/>
  <c r="J168"/>
  <c r="K169"/>
  <c r="S168"/>
  <c r="J98"/>
  <c r="U170"/>
  <c r="U171" s="1"/>
  <c r="U172" s="1"/>
  <c r="O30"/>
  <c r="O31" s="1"/>
  <c r="O32" s="1"/>
  <c r="N30"/>
  <c r="N31" s="1"/>
  <c r="N32" s="1"/>
  <c r="N170"/>
  <c r="M100"/>
  <c r="M101" s="1"/>
  <c r="M102" s="1"/>
  <c r="L30"/>
  <c r="L31" s="1"/>
  <c r="L32" s="1"/>
  <c r="L170"/>
  <c r="K100"/>
  <c r="I100"/>
  <c r="I101" s="1"/>
  <c r="I102" s="1"/>
  <c r="U100"/>
  <c r="R30"/>
  <c r="R31" s="1"/>
  <c r="R32" s="1"/>
  <c r="Q30"/>
  <c r="Q31" s="1"/>
  <c r="Q32" s="1"/>
  <c r="Q170"/>
  <c r="P100"/>
  <c r="P101" s="1"/>
  <c r="P102" s="1"/>
  <c r="O100"/>
  <c r="O101" s="1"/>
  <c r="O102" s="1"/>
  <c r="I170"/>
  <c r="P30"/>
  <c r="P31" s="1"/>
  <c r="P32" s="1"/>
  <c r="M30"/>
  <c r="M31" s="1"/>
  <c r="M32" s="1"/>
  <c r="K170"/>
  <c r="H100"/>
  <c r="H101" s="1"/>
  <c r="H102" s="1"/>
  <c r="G30"/>
  <c r="G31" s="1"/>
  <c r="G32" s="1"/>
  <c r="G170"/>
  <c r="L100"/>
  <c r="L101" s="1"/>
  <c r="L102" s="1"/>
  <c r="H170"/>
  <c r="U30"/>
  <c r="U31" s="1"/>
  <c r="U32" s="1"/>
  <c r="R100"/>
  <c r="R101" s="1"/>
  <c r="R102" s="1"/>
  <c r="P170"/>
  <c r="M170"/>
  <c r="I30"/>
  <c r="I31" s="1"/>
  <c r="I32" s="1"/>
  <c r="H30"/>
  <c r="H31" s="1"/>
  <c r="H32" s="1"/>
  <c r="F30"/>
  <c r="F31" s="1"/>
  <c r="F32" s="1"/>
  <c r="E30"/>
  <c r="E31" s="1"/>
  <c r="E32" s="1"/>
  <c r="E170"/>
  <c r="R170"/>
  <c r="O170"/>
  <c r="G101"/>
  <c r="G102" s="1"/>
  <c r="F100"/>
  <c r="F101" s="1"/>
  <c r="F102" s="1"/>
  <c r="Q100"/>
  <c r="Q101" s="1"/>
  <c r="Q102" s="1"/>
  <c r="N100"/>
  <c r="N101" s="1"/>
  <c r="N102" s="1"/>
  <c r="K30"/>
  <c r="K31" s="1"/>
  <c r="K32" s="1"/>
  <c r="F170"/>
  <c r="E100"/>
  <c r="E101" s="1"/>
  <c r="E102" s="1"/>
  <c r="C29"/>
  <c r="C99"/>
  <c r="C169"/>
  <c r="D30"/>
  <c r="D31" s="1"/>
  <c r="D32" s="1"/>
  <c r="D170"/>
  <c r="C100"/>
  <c r="D100"/>
  <c r="D101" s="1"/>
  <c r="D102" s="1"/>
  <c r="C30"/>
  <c r="C170"/>
  <c r="A34"/>
  <c r="A27" i="84"/>
  <c r="C240" i="85" l="1"/>
  <c r="C239"/>
  <c r="T237"/>
  <c r="K240"/>
  <c r="K239"/>
  <c r="S238"/>
  <c r="D171"/>
  <c r="D240"/>
  <c r="E171"/>
  <c r="E240"/>
  <c r="F171"/>
  <c r="F240"/>
  <c r="G171"/>
  <c r="G240"/>
  <c r="H171"/>
  <c r="H240"/>
  <c r="I171"/>
  <c r="I240"/>
  <c r="R171"/>
  <c r="R240"/>
  <c r="Q171"/>
  <c r="Q240"/>
  <c r="P171"/>
  <c r="P240"/>
  <c r="O171"/>
  <c r="O240"/>
  <c r="N171"/>
  <c r="N240"/>
  <c r="M171"/>
  <c r="M240"/>
  <c r="L171"/>
  <c r="L240"/>
  <c r="J169"/>
  <c r="J238"/>
  <c r="U101"/>
  <c r="U240"/>
  <c r="T98"/>
  <c r="J99"/>
  <c r="S169"/>
  <c r="S239" s="1"/>
  <c r="T168"/>
  <c r="J170"/>
  <c r="K171"/>
  <c r="S170"/>
  <c r="K101"/>
  <c r="K102" s="1"/>
  <c r="S100"/>
  <c r="S101" s="1"/>
  <c r="S102" s="1"/>
  <c r="J100"/>
  <c r="U34"/>
  <c r="R174"/>
  <c r="Q104"/>
  <c r="P34"/>
  <c r="P174"/>
  <c r="I34"/>
  <c r="H34"/>
  <c r="O34"/>
  <c r="N34"/>
  <c r="N174"/>
  <c r="M104"/>
  <c r="L34"/>
  <c r="L174"/>
  <c r="K104"/>
  <c r="I104"/>
  <c r="R34"/>
  <c r="N104"/>
  <c r="K34"/>
  <c r="F174"/>
  <c r="E104"/>
  <c r="F34"/>
  <c r="Q34"/>
  <c r="O104"/>
  <c r="M34"/>
  <c r="K174"/>
  <c r="I174"/>
  <c r="H104"/>
  <c r="G34"/>
  <c r="G174"/>
  <c r="G244" s="1"/>
  <c r="M174"/>
  <c r="R104"/>
  <c r="Q174"/>
  <c r="E34"/>
  <c r="P104"/>
  <c r="O174"/>
  <c r="L104"/>
  <c r="H174"/>
  <c r="E174"/>
  <c r="F104"/>
  <c r="C31"/>
  <c r="C32" s="1"/>
  <c r="C101"/>
  <c r="C102" s="1"/>
  <c r="C171"/>
  <c r="D104"/>
  <c r="C34"/>
  <c r="C174"/>
  <c r="D34"/>
  <c r="D174"/>
  <c r="C104"/>
  <c r="A35"/>
  <c r="A28" i="84"/>
  <c r="R244" i="85" l="1"/>
  <c r="N244"/>
  <c r="I244"/>
  <c r="H244"/>
  <c r="D244"/>
  <c r="C244"/>
  <c r="F244"/>
  <c r="E244"/>
  <c r="J239"/>
  <c r="O244"/>
  <c r="Q244"/>
  <c r="P244"/>
  <c r="M244"/>
  <c r="L244"/>
  <c r="K244"/>
  <c r="T238"/>
  <c r="S240"/>
  <c r="D172"/>
  <c r="D242" s="1"/>
  <c r="D241"/>
  <c r="E172"/>
  <c r="E242" s="1"/>
  <c r="E241"/>
  <c r="F172"/>
  <c r="F242" s="1"/>
  <c r="F241"/>
  <c r="G172"/>
  <c r="G242" s="1"/>
  <c r="G241"/>
  <c r="H172"/>
  <c r="H242" s="1"/>
  <c r="H241"/>
  <c r="I172"/>
  <c r="I242" s="1"/>
  <c r="I241"/>
  <c r="R172"/>
  <c r="R242" s="1"/>
  <c r="R241"/>
  <c r="Q172"/>
  <c r="Q242" s="1"/>
  <c r="Q241"/>
  <c r="P172"/>
  <c r="P242" s="1"/>
  <c r="P241"/>
  <c r="O172"/>
  <c r="O242" s="1"/>
  <c r="O241"/>
  <c r="N172"/>
  <c r="N242" s="1"/>
  <c r="N241"/>
  <c r="M172"/>
  <c r="M242" s="1"/>
  <c r="M241"/>
  <c r="L172"/>
  <c r="L242" s="1"/>
  <c r="L241"/>
  <c r="K172"/>
  <c r="K242" s="1"/>
  <c r="K241"/>
  <c r="J171"/>
  <c r="J240"/>
  <c r="C172"/>
  <c r="C242" s="1"/>
  <c r="C241"/>
  <c r="U102"/>
  <c r="U242" s="1"/>
  <c r="U241"/>
  <c r="S171"/>
  <c r="T170"/>
  <c r="T100"/>
  <c r="J101"/>
  <c r="J102" s="1"/>
  <c r="J104"/>
  <c r="J174"/>
  <c r="S174"/>
  <c r="S104"/>
  <c r="R105"/>
  <c r="O175"/>
  <c r="N105"/>
  <c r="M35"/>
  <c r="M175"/>
  <c r="L105"/>
  <c r="K35"/>
  <c r="K175"/>
  <c r="U35"/>
  <c r="R175"/>
  <c r="Q105"/>
  <c r="P35"/>
  <c r="P175"/>
  <c r="I35"/>
  <c r="P105"/>
  <c r="L35"/>
  <c r="H175"/>
  <c r="F105"/>
  <c r="K105"/>
  <c r="I175"/>
  <c r="H35"/>
  <c r="H105"/>
  <c r="G35"/>
  <c r="R35"/>
  <c r="N35"/>
  <c r="L175"/>
  <c r="F175"/>
  <c r="E105"/>
  <c r="U105"/>
  <c r="U245" s="1"/>
  <c r="Q35"/>
  <c r="O105"/>
  <c r="N175"/>
  <c r="G175"/>
  <c r="G245" s="1"/>
  <c r="Q175"/>
  <c r="O35"/>
  <c r="M105"/>
  <c r="I105"/>
  <c r="E35"/>
  <c r="E175"/>
  <c r="F35"/>
  <c r="D105"/>
  <c r="C35"/>
  <c r="C175"/>
  <c r="D35"/>
  <c r="D175"/>
  <c r="C105"/>
  <c r="A36"/>
  <c r="A29" i="84"/>
  <c r="R245" i="85" l="1"/>
  <c r="N245"/>
  <c r="I245"/>
  <c r="H245"/>
  <c r="D245"/>
  <c r="C245"/>
  <c r="F245"/>
  <c r="J244"/>
  <c r="E245"/>
  <c r="O245"/>
  <c r="Q245"/>
  <c r="P245"/>
  <c r="M245"/>
  <c r="L245"/>
  <c r="T240"/>
  <c r="S244"/>
  <c r="K245"/>
  <c r="S172"/>
  <c r="S242" s="1"/>
  <c r="S241"/>
  <c r="J172"/>
  <c r="J242" s="1"/>
  <c r="J241"/>
  <c r="T174"/>
  <c r="T104"/>
  <c r="J175"/>
  <c r="J105"/>
  <c r="S105"/>
  <c r="S175"/>
  <c r="U106"/>
  <c r="R36"/>
  <c r="R37" s="1"/>
  <c r="Q36"/>
  <c r="Q37" s="1"/>
  <c r="Q176"/>
  <c r="P106"/>
  <c r="P107" s="1"/>
  <c r="O106"/>
  <c r="O107" s="1"/>
  <c r="I176"/>
  <c r="R106"/>
  <c r="R107" s="1"/>
  <c r="O176"/>
  <c r="N106"/>
  <c r="N107" s="1"/>
  <c r="M36"/>
  <c r="M37" s="1"/>
  <c r="M176"/>
  <c r="L106"/>
  <c r="L107" s="1"/>
  <c r="K36"/>
  <c r="K37" s="1"/>
  <c r="K176"/>
  <c r="Q106"/>
  <c r="Q107" s="1"/>
  <c r="O36"/>
  <c r="O37" s="1"/>
  <c r="M106"/>
  <c r="M107" s="1"/>
  <c r="I106"/>
  <c r="I107" s="1"/>
  <c r="F36"/>
  <c r="F37" s="1"/>
  <c r="E36"/>
  <c r="E37" s="1"/>
  <c r="E176"/>
  <c r="I36"/>
  <c r="I37" s="1"/>
  <c r="F176"/>
  <c r="P36"/>
  <c r="P37" s="1"/>
  <c r="L36"/>
  <c r="L37" s="1"/>
  <c r="H176"/>
  <c r="G107"/>
  <c r="F106"/>
  <c r="F107" s="1"/>
  <c r="L176"/>
  <c r="U36"/>
  <c r="U37" s="1"/>
  <c r="P176"/>
  <c r="N36"/>
  <c r="N37" s="1"/>
  <c r="U176"/>
  <c r="U177" s="1"/>
  <c r="R176"/>
  <c r="N176"/>
  <c r="K106"/>
  <c r="H36"/>
  <c r="H37" s="1"/>
  <c r="H106"/>
  <c r="H107" s="1"/>
  <c r="G36"/>
  <c r="G37" s="1"/>
  <c r="E106"/>
  <c r="E107" s="1"/>
  <c r="G176"/>
  <c r="D36"/>
  <c r="D37" s="1"/>
  <c r="D176"/>
  <c r="C106"/>
  <c r="D106"/>
  <c r="D107" s="1"/>
  <c r="C36"/>
  <c r="C176"/>
  <c r="A38"/>
  <c r="A30" i="84"/>
  <c r="J245" i="85" l="1"/>
  <c r="C246"/>
  <c r="K246"/>
  <c r="T244"/>
  <c r="S245"/>
  <c r="D177"/>
  <c r="D247" s="1"/>
  <c r="D246"/>
  <c r="E177"/>
  <c r="E247" s="1"/>
  <c r="E246"/>
  <c r="F177"/>
  <c r="F247" s="1"/>
  <c r="F246"/>
  <c r="G177"/>
  <c r="G247" s="1"/>
  <c r="G246"/>
  <c r="H177"/>
  <c r="H247" s="1"/>
  <c r="H246"/>
  <c r="I177"/>
  <c r="I247" s="1"/>
  <c r="I246"/>
  <c r="R177"/>
  <c r="R247" s="1"/>
  <c r="R246"/>
  <c r="Q177"/>
  <c r="Q247" s="1"/>
  <c r="Q246"/>
  <c r="P177"/>
  <c r="P247" s="1"/>
  <c r="P246"/>
  <c r="O177"/>
  <c r="O247" s="1"/>
  <c r="O246"/>
  <c r="N177"/>
  <c r="N247" s="1"/>
  <c r="N246"/>
  <c r="M177"/>
  <c r="M247" s="1"/>
  <c r="M246"/>
  <c r="L177"/>
  <c r="L247" s="1"/>
  <c r="L246"/>
  <c r="U107"/>
  <c r="U247" s="1"/>
  <c r="U246"/>
  <c r="T175"/>
  <c r="T105"/>
  <c r="K177"/>
  <c r="K247" s="1"/>
  <c r="S176"/>
  <c r="J176"/>
  <c r="K107"/>
  <c r="S106"/>
  <c r="S107" s="1"/>
  <c r="J106"/>
  <c r="J107" s="1"/>
  <c r="U178"/>
  <c r="U179" s="1"/>
  <c r="O38"/>
  <c r="O39" s="1"/>
  <c r="N38"/>
  <c r="N39" s="1"/>
  <c r="N178"/>
  <c r="M108"/>
  <c r="M109" s="1"/>
  <c r="L38"/>
  <c r="L39" s="1"/>
  <c r="L178"/>
  <c r="K108"/>
  <c r="I108"/>
  <c r="I109" s="1"/>
  <c r="U108"/>
  <c r="R38"/>
  <c r="R39" s="1"/>
  <c r="Q38"/>
  <c r="Q39" s="1"/>
  <c r="Q178"/>
  <c r="P108"/>
  <c r="P109" s="1"/>
  <c r="O108"/>
  <c r="O109" s="1"/>
  <c r="I178"/>
  <c r="R178"/>
  <c r="O178"/>
  <c r="L108"/>
  <c r="L109" s="1"/>
  <c r="H38"/>
  <c r="H39" s="1"/>
  <c r="H108"/>
  <c r="H109" s="1"/>
  <c r="G38"/>
  <c r="G39" s="1"/>
  <c r="G178"/>
  <c r="H178"/>
  <c r="G109"/>
  <c r="Q108"/>
  <c r="Q109" s="1"/>
  <c r="N108"/>
  <c r="N109" s="1"/>
  <c r="K38"/>
  <c r="K39" s="1"/>
  <c r="F38"/>
  <c r="F39" s="1"/>
  <c r="E38"/>
  <c r="E39" s="1"/>
  <c r="E178"/>
  <c r="K178"/>
  <c r="F108"/>
  <c r="F109" s="1"/>
  <c r="P38"/>
  <c r="P39" s="1"/>
  <c r="M38"/>
  <c r="M39" s="1"/>
  <c r="U38"/>
  <c r="U39" s="1"/>
  <c r="R108"/>
  <c r="R109" s="1"/>
  <c r="P178"/>
  <c r="M178"/>
  <c r="I38"/>
  <c r="I39" s="1"/>
  <c r="F178"/>
  <c r="E108"/>
  <c r="E109" s="1"/>
  <c r="C37"/>
  <c r="C107"/>
  <c r="C177"/>
  <c r="D38"/>
  <c r="D39" s="1"/>
  <c r="D178"/>
  <c r="C108"/>
  <c r="D108"/>
  <c r="D109" s="1"/>
  <c r="C38"/>
  <c r="C178"/>
  <c r="A40"/>
  <c r="A31" i="84"/>
  <c r="S246" i="85" l="1"/>
  <c r="C248"/>
  <c r="C247"/>
  <c r="K248"/>
  <c r="T245"/>
  <c r="D179"/>
  <c r="D249" s="1"/>
  <c r="D248"/>
  <c r="E179"/>
  <c r="E249" s="1"/>
  <c r="E248"/>
  <c r="F179"/>
  <c r="F249" s="1"/>
  <c r="F248"/>
  <c r="G179"/>
  <c r="G249" s="1"/>
  <c r="G248"/>
  <c r="H179"/>
  <c r="H249" s="1"/>
  <c r="H248"/>
  <c r="I179"/>
  <c r="I249" s="1"/>
  <c r="I248"/>
  <c r="R179"/>
  <c r="R249" s="1"/>
  <c r="R248"/>
  <c r="Q179"/>
  <c r="Q249" s="1"/>
  <c r="Q248"/>
  <c r="P179"/>
  <c r="P249" s="1"/>
  <c r="P248"/>
  <c r="O179"/>
  <c r="O249" s="1"/>
  <c r="O248"/>
  <c r="N179"/>
  <c r="N249" s="1"/>
  <c r="N248"/>
  <c r="M179"/>
  <c r="M249" s="1"/>
  <c r="M248"/>
  <c r="L179"/>
  <c r="L249" s="1"/>
  <c r="L248"/>
  <c r="J177"/>
  <c r="J247" s="1"/>
  <c r="J246"/>
  <c r="U109"/>
  <c r="U249" s="1"/>
  <c r="U248"/>
  <c r="T106"/>
  <c r="S177"/>
  <c r="S247" s="1"/>
  <c r="T176"/>
  <c r="J178"/>
  <c r="K179"/>
  <c r="S178"/>
  <c r="K109"/>
  <c r="S108"/>
  <c r="S109" s="1"/>
  <c r="J108"/>
  <c r="U40"/>
  <c r="U41" s="1"/>
  <c r="U42" s="1"/>
  <c r="R180"/>
  <c r="Q110"/>
  <c r="Q111" s="1"/>
  <c r="Q112" s="1"/>
  <c r="P40"/>
  <c r="P41" s="1"/>
  <c r="P42" s="1"/>
  <c r="P180"/>
  <c r="I40"/>
  <c r="I41" s="1"/>
  <c r="I42" s="1"/>
  <c r="H40"/>
  <c r="H41" s="1"/>
  <c r="H42" s="1"/>
  <c r="O40"/>
  <c r="O41" s="1"/>
  <c r="O42" s="1"/>
  <c r="N40"/>
  <c r="N41" s="1"/>
  <c r="N42" s="1"/>
  <c r="N180"/>
  <c r="M110"/>
  <c r="M111" s="1"/>
  <c r="M112" s="1"/>
  <c r="L40"/>
  <c r="L41" s="1"/>
  <c r="L42" s="1"/>
  <c r="L180"/>
  <c r="K110"/>
  <c r="I110"/>
  <c r="I111" s="1"/>
  <c r="I112" s="1"/>
  <c r="U110"/>
  <c r="U180"/>
  <c r="U181" s="1"/>
  <c r="U182" s="1"/>
  <c r="R110"/>
  <c r="R111" s="1"/>
  <c r="R112" s="1"/>
  <c r="Q180"/>
  <c r="M180"/>
  <c r="F180"/>
  <c r="E110"/>
  <c r="E111" s="1"/>
  <c r="E112" s="1"/>
  <c r="P110"/>
  <c r="P111" s="1"/>
  <c r="P112" s="1"/>
  <c r="O180"/>
  <c r="L110"/>
  <c r="L111" s="1"/>
  <c r="L112" s="1"/>
  <c r="H110"/>
  <c r="H111" s="1"/>
  <c r="H112" s="1"/>
  <c r="G40"/>
  <c r="G41" s="1"/>
  <c r="G42" s="1"/>
  <c r="G180"/>
  <c r="K40"/>
  <c r="K41" s="1"/>
  <c r="K42" s="1"/>
  <c r="E40"/>
  <c r="E41" s="1"/>
  <c r="E42" s="1"/>
  <c r="R40"/>
  <c r="R41" s="1"/>
  <c r="R42" s="1"/>
  <c r="N110"/>
  <c r="N111" s="1"/>
  <c r="N112" s="1"/>
  <c r="F40"/>
  <c r="F41" s="1"/>
  <c r="F42" s="1"/>
  <c r="Q40"/>
  <c r="Q41" s="1"/>
  <c r="Q42" s="1"/>
  <c r="O110"/>
  <c r="O111" s="1"/>
  <c r="O112" s="1"/>
  <c r="M40"/>
  <c r="M41" s="1"/>
  <c r="M42" s="1"/>
  <c r="K180"/>
  <c r="I180"/>
  <c r="H180"/>
  <c r="F110"/>
  <c r="F111" s="1"/>
  <c r="F112" s="1"/>
  <c r="E180"/>
  <c r="G111"/>
  <c r="G112" s="1"/>
  <c r="C39"/>
  <c r="C109"/>
  <c r="C179"/>
  <c r="C249" s="1"/>
  <c r="D110"/>
  <c r="D111" s="1"/>
  <c r="D112" s="1"/>
  <c r="C40"/>
  <c r="C180"/>
  <c r="D180"/>
  <c r="C110"/>
  <c r="D40"/>
  <c r="D41" s="1"/>
  <c r="D42" s="1"/>
  <c r="A44"/>
  <c r="A32" i="84"/>
  <c r="K249" i="85" l="1"/>
  <c r="S248"/>
  <c r="C250"/>
  <c r="T246"/>
  <c r="K250"/>
  <c r="D181"/>
  <c r="D250"/>
  <c r="E181"/>
  <c r="E250"/>
  <c r="F181"/>
  <c r="F250"/>
  <c r="G181"/>
  <c r="G250"/>
  <c r="H181"/>
  <c r="H250"/>
  <c r="I181"/>
  <c r="I250"/>
  <c r="R181"/>
  <c r="R250"/>
  <c r="Q181"/>
  <c r="Q250"/>
  <c r="P181"/>
  <c r="P250"/>
  <c r="O181"/>
  <c r="O250"/>
  <c r="N181"/>
  <c r="N250"/>
  <c r="M181"/>
  <c r="M250"/>
  <c r="L181"/>
  <c r="L250"/>
  <c r="J179"/>
  <c r="J248"/>
  <c r="U111"/>
  <c r="U250"/>
  <c r="S179"/>
  <c r="S249" s="1"/>
  <c r="T178"/>
  <c r="T108"/>
  <c r="J109"/>
  <c r="J110"/>
  <c r="J180"/>
  <c r="K181"/>
  <c r="S180"/>
  <c r="K111"/>
  <c r="K112" s="1"/>
  <c r="S110"/>
  <c r="S111" s="1"/>
  <c r="S112" s="1"/>
  <c r="U114"/>
  <c r="R114"/>
  <c r="O184"/>
  <c r="N114"/>
  <c r="M44"/>
  <c r="M184"/>
  <c r="L114"/>
  <c r="K44"/>
  <c r="K184"/>
  <c r="U44"/>
  <c r="R184"/>
  <c r="Q114"/>
  <c r="P44"/>
  <c r="P184"/>
  <c r="I44"/>
  <c r="Q44"/>
  <c r="O114"/>
  <c r="N184"/>
  <c r="K114"/>
  <c r="I184"/>
  <c r="H184"/>
  <c r="F114"/>
  <c r="H114"/>
  <c r="U184"/>
  <c r="Q184"/>
  <c r="O44"/>
  <c r="M114"/>
  <c r="I114"/>
  <c r="H44"/>
  <c r="F184"/>
  <c r="E114"/>
  <c r="L44"/>
  <c r="P114"/>
  <c r="G44"/>
  <c r="G184"/>
  <c r="G254" s="1"/>
  <c r="R44"/>
  <c r="N44"/>
  <c r="L184"/>
  <c r="E44"/>
  <c r="E184"/>
  <c r="F44"/>
  <c r="C41"/>
  <c r="C42" s="1"/>
  <c r="C111"/>
  <c r="C112" s="1"/>
  <c r="C181"/>
  <c r="D44"/>
  <c r="D114"/>
  <c r="C44"/>
  <c r="C184"/>
  <c r="D184"/>
  <c r="C114"/>
  <c r="A45"/>
  <c r="A33" i="84"/>
  <c r="R254" i="85" l="1"/>
  <c r="N254"/>
  <c r="I254"/>
  <c r="H254"/>
  <c r="D254"/>
  <c r="C254"/>
  <c r="F254"/>
  <c r="J249"/>
  <c r="E254"/>
  <c r="T248"/>
  <c r="O254"/>
  <c r="Q254"/>
  <c r="P254"/>
  <c r="M254"/>
  <c r="L254"/>
  <c r="K254"/>
  <c r="S250"/>
  <c r="D182"/>
  <c r="D252" s="1"/>
  <c r="D251"/>
  <c r="E182"/>
  <c r="E252" s="1"/>
  <c r="E251"/>
  <c r="F182"/>
  <c r="F252" s="1"/>
  <c r="F251"/>
  <c r="G182"/>
  <c r="G252" s="1"/>
  <c r="G251"/>
  <c r="H182"/>
  <c r="H252" s="1"/>
  <c r="H251"/>
  <c r="I182"/>
  <c r="I252" s="1"/>
  <c r="I251"/>
  <c r="R182"/>
  <c r="R252" s="1"/>
  <c r="R251"/>
  <c r="Q182"/>
  <c r="Q252" s="1"/>
  <c r="Q251"/>
  <c r="P182"/>
  <c r="P252" s="1"/>
  <c r="P251"/>
  <c r="O182"/>
  <c r="O252" s="1"/>
  <c r="O251"/>
  <c r="N182"/>
  <c r="N252" s="1"/>
  <c r="N251"/>
  <c r="M182"/>
  <c r="M252" s="1"/>
  <c r="M251"/>
  <c r="L182"/>
  <c r="L252" s="1"/>
  <c r="L251"/>
  <c r="K182"/>
  <c r="K252" s="1"/>
  <c r="K251"/>
  <c r="J181"/>
  <c r="J250"/>
  <c r="C182"/>
  <c r="C252" s="1"/>
  <c r="C251"/>
  <c r="U254"/>
  <c r="U112"/>
  <c r="U252" s="1"/>
  <c r="U251"/>
  <c r="S181"/>
  <c r="T180"/>
  <c r="J111"/>
  <c r="J112" s="1"/>
  <c r="T110"/>
  <c r="J184"/>
  <c r="S184"/>
  <c r="J114"/>
  <c r="S114"/>
  <c r="R45"/>
  <c r="Q45"/>
  <c r="Q185"/>
  <c r="P115"/>
  <c r="O115"/>
  <c r="I185"/>
  <c r="R115"/>
  <c r="O185"/>
  <c r="N115"/>
  <c r="M45"/>
  <c r="M185"/>
  <c r="L115"/>
  <c r="K45"/>
  <c r="K185"/>
  <c r="U45"/>
  <c r="P185"/>
  <c r="N45"/>
  <c r="L185"/>
  <c r="I45"/>
  <c r="F45"/>
  <c r="E45"/>
  <c r="E185"/>
  <c r="I115"/>
  <c r="H45"/>
  <c r="R185"/>
  <c r="N185"/>
  <c r="K115"/>
  <c r="H185"/>
  <c r="F115"/>
  <c r="Q115"/>
  <c r="O45"/>
  <c r="M115"/>
  <c r="F185"/>
  <c r="P45"/>
  <c r="L45"/>
  <c r="H115"/>
  <c r="G45"/>
  <c r="G185"/>
  <c r="G255" s="1"/>
  <c r="E115"/>
  <c r="D185"/>
  <c r="C115"/>
  <c r="D45"/>
  <c r="D115"/>
  <c r="C45"/>
  <c r="C185"/>
  <c r="A46"/>
  <c r="A34" i="84"/>
  <c r="R255" i="85" l="1"/>
  <c r="N255"/>
  <c r="I255"/>
  <c r="H255"/>
  <c r="D255"/>
  <c r="J254"/>
  <c r="C255"/>
  <c r="F255"/>
  <c r="E255"/>
  <c r="O255"/>
  <c r="Q255"/>
  <c r="P255"/>
  <c r="M255"/>
  <c r="L255"/>
  <c r="S254"/>
  <c r="K255"/>
  <c r="T250"/>
  <c r="S182"/>
  <c r="S252" s="1"/>
  <c r="S251"/>
  <c r="J182"/>
  <c r="J252" s="1"/>
  <c r="J251"/>
  <c r="T184"/>
  <c r="T114"/>
  <c r="J185"/>
  <c r="J115"/>
  <c r="S185"/>
  <c r="S115"/>
  <c r="O46"/>
  <c r="O47" s="1"/>
  <c r="N46"/>
  <c r="N47" s="1"/>
  <c r="N186"/>
  <c r="M116"/>
  <c r="M117" s="1"/>
  <c r="L46"/>
  <c r="L47" s="1"/>
  <c r="L186"/>
  <c r="K116"/>
  <c r="I116"/>
  <c r="I117" s="1"/>
  <c r="U186"/>
  <c r="U187" s="1"/>
  <c r="R46"/>
  <c r="R47" s="1"/>
  <c r="Q46"/>
  <c r="Q47" s="1"/>
  <c r="Q186"/>
  <c r="P116"/>
  <c r="P117" s="1"/>
  <c r="O116"/>
  <c r="O117" s="1"/>
  <c r="I186"/>
  <c r="P46"/>
  <c r="P47" s="1"/>
  <c r="M46"/>
  <c r="M47" s="1"/>
  <c r="K186"/>
  <c r="H116"/>
  <c r="H117" s="1"/>
  <c r="G46"/>
  <c r="G47" s="1"/>
  <c r="G186"/>
  <c r="F116"/>
  <c r="F117" s="1"/>
  <c r="U46"/>
  <c r="U47" s="1"/>
  <c r="U116"/>
  <c r="R116"/>
  <c r="R117" s="1"/>
  <c r="P186"/>
  <c r="M186"/>
  <c r="I46"/>
  <c r="I47" s="1"/>
  <c r="F46"/>
  <c r="F47" s="1"/>
  <c r="E46"/>
  <c r="E47" s="1"/>
  <c r="E186"/>
  <c r="L116"/>
  <c r="L117" s="1"/>
  <c r="R186"/>
  <c r="O186"/>
  <c r="H186"/>
  <c r="G117"/>
  <c r="Q116"/>
  <c r="Q117" s="1"/>
  <c r="N116"/>
  <c r="N117" s="1"/>
  <c r="K46"/>
  <c r="K47" s="1"/>
  <c r="H46"/>
  <c r="H47" s="1"/>
  <c r="E116"/>
  <c r="E117" s="1"/>
  <c r="F186"/>
  <c r="D186"/>
  <c r="C116"/>
  <c r="D46"/>
  <c r="D47" s="1"/>
  <c r="D116"/>
  <c r="D117" s="1"/>
  <c r="C46"/>
  <c r="C186"/>
  <c r="A48"/>
  <c r="A35" i="84"/>
  <c r="C256" i="85" l="1"/>
  <c r="J255"/>
  <c r="S255"/>
  <c r="T254"/>
  <c r="K256"/>
  <c r="D187"/>
  <c r="D257" s="1"/>
  <c r="D256"/>
  <c r="E187"/>
  <c r="E257" s="1"/>
  <c r="E256"/>
  <c r="F187"/>
  <c r="F257" s="1"/>
  <c r="F256"/>
  <c r="G187"/>
  <c r="G257" s="1"/>
  <c r="G256"/>
  <c r="H187"/>
  <c r="H257" s="1"/>
  <c r="H256"/>
  <c r="I187"/>
  <c r="I257" s="1"/>
  <c r="I256"/>
  <c r="R187"/>
  <c r="R257" s="1"/>
  <c r="R256"/>
  <c r="Q187"/>
  <c r="Q257" s="1"/>
  <c r="Q256"/>
  <c r="P187"/>
  <c r="P257" s="1"/>
  <c r="P256"/>
  <c r="O187"/>
  <c r="O257" s="1"/>
  <c r="O256"/>
  <c r="N187"/>
  <c r="N257" s="1"/>
  <c r="N256"/>
  <c r="M187"/>
  <c r="M257" s="1"/>
  <c r="M256"/>
  <c r="L187"/>
  <c r="L257" s="1"/>
  <c r="L256"/>
  <c r="U117"/>
  <c r="U257" s="1"/>
  <c r="U256"/>
  <c r="T115"/>
  <c r="T185"/>
  <c r="K117"/>
  <c r="S116"/>
  <c r="S117" s="1"/>
  <c r="J186"/>
  <c r="J116"/>
  <c r="K187"/>
  <c r="S186"/>
  <c r="U48"/>
  <c r="U49" s="1"/>
  <c r="R188"/>
  <c r="Q118"/>
  <c r="Q119" s="1"/>
  <c r="P48"/>
  <c r="P49" s="1"/>
  <c r="P188"/>
  <c r="I48"/>
  <c r="I49" s="1"/>
  <c r="H48"/>
  <c r="H49" s="1"/>
  <c r="O48"/>
  <c r="O49" s="1"/>
  <c r="N48"/>
  <c r="N49" s="1"/>
  <c r="N188"/>
  <c r="M118"/>
  <c r="M119" s="1"/>
  <c r="L48"/>
  <c r="L49" s="1"/>
  <c r="L188"/>
  <c r="K118"/>
  <c r="I118"/>
  <c r="I119" s="1"/>
  <c r="R48"/>
  <c r="R49" s="1"/>
  <c r="N118"/>
  <c r="N119" s="1"/>
  <c r="K48"/>
  <c r="K49" s="1"/>
  <c r="F188"/>
  <c r="E118"/>
  <c r="E119" s="1"/>
  <c r="M188"/>
  <c r="F48"/>
  <c r="F49" s="1"/>
  <c r="Q48"/>
  <c r="Q49" s="1"/>
  <c r="O118"/>
  <c r="O119" s="1"/>
  <c r="M48"/>
  <c r="M49" s="1"/>
  <c r="K188"/>
  <c r="I188"/>
  <c r="H118"/>
  <c r="H119" s="1"/>
  <c r="G48"/>
  <c r="G49" s="1"/>
  <c r="G188"/>
  <c r="U118"/>
  <c r="U188"/>
  <c r="U189" s="1"/>
  <c r="R118"/>
  <c r="R119" s="1"/>
  <c r="Q188"/>
  <c r="E48"/>
  <c r="E49" s="1"/>
  <c r="P118"/>
  <c r="P119" s="1"/>
  <c r="O188"/>
  <c r="L118"/>
  <c r="L119" s="1"/>
  <c r="H188"/>
  <c r="F118"/>
  <c r="F119" s="1"/>
  <c r="G119"/>
  <c r="E188"/>
  <c r="C47"/>
  <c r="C117"/>
  <c r="C187"/>
  <c r="D118"/>
  <c r="D119" s="1"/>
  <c r="C48"/>
  <c r="C188"/>
  <c r="D48"/>
  <c r="D49" s="1"/>
  <c r="D188"/>
  <c r="C118"/>
  <c r="A50"/>
  <c r="A36" i="84"/>
  <c r="C258" i="85" l="1"/>
  <c r="C257"/>
  <c r="K257"/>
  <c r="S256"/>
  <c r="K258"/>
  <c r="T255"/>
  <c r="D189"/>
  <c r="D259" s="1"/>
  <c r="D258"/>
  <c r="E189"/>
  <c r="E259" s="1"/>
  <c r="E258"/>
  <c r="F189"/>
  <c r="F259" s="1"/>
  <c r="F258"/>
  <c r="G189"/>
  <c r="G259" s="1"/>
  <c r="G258"/>
  <c r="H189"/>
  <c r="H259" s="1"/>
  <c r="H258"/>
  <c r="I189"/>
  <c r="I259" s="1"/>
  <c r="I258"/>
  <c r="R189"/>
  <c r="R259" s="1"/>
  <c r="R258"/>
  <c r="Q189"/>
  <c r="Q259" s="1"/>
  <c r="Q258"/>
  <c r="P189"/>
  <c r="P259" s="1"/>
  <c r="P258"/>
  <c r="O189"/>
  <c r="O259" s="1"/>
  <c r="O258"/>
  <c r="N189"/>
  <c r="N259" s="1"/>
  <c r="N258"/>
  <c r="M189"/>
  <c r="M259" s="1"/>
  <c r="M258"/>
  <c r="L189"/>
  <c r="L259" s="1"/>
  <c r="L258"/>
  <c r="J187"/>
  <c r="J256"/>
  <c r="U119"/>
  <c r="U259" s="1"/>
  <c r="U258"/>
  <c r="S187"/>
  <c r="S257" s="1"/>
  <c r="T186"/>
  <c r="T116"/>
  <c r="J117"/>
  <c r="J188"/>
  <c r="K189"/>
  <c r="S188"/>
  <c r="K119"/>
  <c r="S118"/>
  <c r="S119" s="1"/>
  <c r="J118"/>
  <c r="U120"/>
  <c r="R120"/>
  <c r="R121" s="1"/>
  <c r="R122" s="1"/>
  <c r="O190"/>
  <c r="N120"/>
  <c r="N121" s="1"/>
  <c r="N122" s="1"/>
  <c r="M50"/>
  <c r="M51" s="1"/>
  <c r="M52" s="1"/>
  <c r="M190"/>
  <c r="L120"/>
  <c r="L121" s="1"/>
  <c r="L122" s="1"/>
  <c r="K50"/>
  <c r="K51" s="1"/>
  <c r="K52" s="1"/>
  <c r="K190"/>
  <c r="U50"/>
  <c r="U51" s="1"/>
  <c r="U52" s="1"/>
  <c r="R190"/>
  <c r="Q120"/>
  <c r="Q121" s="1"/>
  <c r="Q122" s="1"/>
  <c r="P50"/>
  <c r="P51" s="1"/>
  <c r="P52" s="1"/>
  <c r="P190"/>
  <c r="I50"/>
  <c r="I51" s="1"/>
  <c r="I52" s="1"/>
  <c r="H50"/>
  <c r="H51" s="1"/>
  <c r="H52" s="1"/>
  <c r="P120"/>
  <c r="P121" s="1"/>
  <c r="P122" s="1"/>
  <c r="L50"/>
  <c r="L51" s="1"/>
  <c r="L52" s="1"/>
  <c r="H190"/>
  <c r="G121"/>
  <c r="G122" s="1"/>
  <c r="F120"/>
  <c r="F121" s="1"/>
  <c r="F122" s="1"/>
  <c r="I190"/>
  <c r="H120"/>
  <c r="H121" s="1"/>
  <c r="H122" s="1"/>
  <c r="G50"/>
  <c r="G51" s="1"/>
  <c r="G52" s="1"/>
  <c r="G190"/>
  <c r="R50"/>
  <c r="R51" s="1"/>
  <c r="R52" s="1"/>
  <c r="N50"/>
  <c r="N51" s="1"/>
  <c r="N52" s="1"/>
  <c r="L190"/>
  <c r="F190"/>
  <c r="E120"/>
  <c r="E121" s="1"/>
  <c r="E122" s="1"/>
  <c r="K120"/>
  <c r="Q50"/>
  <c r="Q51" s="1"/>
  <c r="Q52" s="1"/>
  <c r="O120"/>
  <c r="O121" s="1"/>
  <c r="O122" s="1"/>
  <c r="N190"/>
  <c r="U190"/>
  <c r="U191" s="1"/>
  <c r="U192" s="1"/>
  <c r="Q190"/>
  <c r="O50"/>
  <c r="O51" s="1"/>
  <c r="O52" s="1"/>
  <c r="M120"/>
  <c r="M121" s="1"/>
  <c r="M122" s="1"/>
  <c r="I120"/>
  <c r="I121" s="1"/>
  <c r="I122" s="1"/>
  <c r="F50"/>
  <c r="F51" s="1"/>
  <c r="F52" s="1"/>
  <c r="E50"/>
  <c r="E51" s="1"/>
  <c r="E52" s="1"/>
  <c r="E190"/>
  <c r="C49"/>
  <c r="C119"/>
  <c r="C189"/>
  <c r="D50"/>
  <c r="D51" s="1"/>
  <c r="D52" s="1"/>
  <c r="D120"/>
  <c r="D121" s="1"/>
  <c r="D122" s="1"/>
  <c r="C50"/>
  <c r="C190"/>
  <c r="D190"/>
  <c r="C120"/>
  <c r="A54"/>
  <c r="A37" i="84"/>
  <c r="C259" i="85" l="1"/>
  <c r="C260"/>
  <c r="J257"/>
  <c r="T256"/>
  <c r="K260"/>
  <c r="K259"/>
  <c r="S258"/>
  <c r="D191"/>
  <c r="D260"/>
  <c r="E191"/>
  <c r="E260"/>
  <c r="F191"/>
  <c r="F260"/>
  <c r="G191"/>
  <c r="G260"/>
  <c r="H191"/>
  <c r="H260"/>
  <c r="I191"/>
  <c r="I260"/>
  <c r="R191"/>
  <c r="R260"/>
  <c r="Q191"/>
  <c r="Q260"/>
  <c r="P191"/>
  <c r="P260"/>
  <c r="O191"/>
  <c r="O260"/>
  <c r="N191"/>
  <c r="N260"/>
  <c r="M191"/>
  <c r="M260"/>
  <c r="L191"/>
  <c r="L260"/>
  <c r="J189"/>
  <c r="J258"/>
  <c r="U121"/>
  <c r="U260"/>
  <c r="S189"/>
  <c r="S259" s="1"/>
  <c r="T188"/>
  <c r="T118"/>
  <c r="J119"/>
  <c r="J120"/>
  <c r="K191"/>
  <c r="S190"/>
  <c r="J190"/>
  <c r="K121"/>
  <c r="K122" s="1"/>
  <c r="S120"/>
  <c r="S121" s="1"/>
  <c r="S122" s="1"/>
  <c r="R54"/>
  <c r="R55" s="1"/>
  <c r="Q54"/>
  <c r="Q55" s="1"/>
  <c r="Q194"/>
  <c r="P124"/>
  <c r="P125" s="1"/>
  <c r="O124"/>
  <c r="O125" s="1"/>
  <c r="I194"/>
  <c r="U124"/>
  <c r="U194"/>
  <c r="U195" s="1"/>
  <c r="R124"/>
  <c r="R125" s="1"/>
  <c r="O194"/>
  <c r="N124"/>
  <c r="N125" s="1"/>
  <c r="M54"/>
  <c r="M55" s="1"/>
  <c r="M194"/>
  <c r="L124"/>
  <c r="L125" s="1"/>
  <c r="K54"/>
  <c r="K55" s="1"/>
  <c r="K194"/>
  <c r="Q124"/>
  <c r="Q125" s="1"/>
  <c r="O54"/>
  <c r="O55" s="1"/>
  <c r="M124"/>
  <c r="M125" s="1"/>
  <c r="I124"/>
  <c r="I125" s="1"/>
  <c r="H54"/>
  <c r="H55" s="1"/>
  <c r="F54"/>
  <c r="F55" s="1"/>
  <c r="E54"/>
  <c r="E55" s="1"/>
  <c r="E194"/>
  <c r="I54"/>
  <c r="I55" s="1"/>
  <c r="P54"/>
  <c r="P55" s="1"/>
  <c r="L54"/>
  <c r="L55" s="1"/>
  <c r="H194"/>
  <c r="G125"/>
  <c r="F124"/>
  <c r="F125" s="1"/>
  <c r="L194"/>
  <c r="F194"/>
  <c r="P194"/>
  <c r="N54"/>
  <c r="N55" s="1"/>
  <c r="E124"/>
  <c r="E125" s="1"/>
  <c r="U54"/>
  <c r="U55" s="1"/>
  <c r="R194"/>
  <c r="N194"/>
  <c r="K124"/>
  <c r="H124"/>
  <c r="H125" s="1"/>
  <c r="G54"/>
  <c r="G55" s="1"/>
  <c r="G194"/>
  <c r="C51"/>
  <c r="C52" s="1"/>
  <c r="C121"/>
  <c r="C122" s="1"/>
  <c r="C191"/>
  <c r="D194"/>
  <c r="C124"/>
  <c r="D54"/>
  <c r="D55" s="1"/>
  <c r="D124"/>
  <c r="D125" s="1"/>
  <c r="C54"/>
  <c r="C194"/>
  <c r="A56"/>
  <c r="A38" i="84"/>
  <c r="T258" i="85" l="1"/>
  <c r="C264"/>
  <c r="J259"/>
  <c r="K264"/>
  <c r="S260"/>
  <c r="D195"/>
  <c r="D265" s="1"/>
  <c r="D264"/>
  <c r="D192"/>
  <c r="D262" s="1"/>
  <c r="D261"/>
  <c r="E192"/>
  <c r="E262" s="1"/>
  <c r="E261"/>
  <c r="E195"/>
  <c r="E265" s="1"/>
  <c r="E264"/>
  <c r="F192"/>
  <c r="F262" s="1"/>
  <c r="F261"/>
  <c r="F195"/>
  <c r="F265" s="1"/>
  <c r="F264"/>
  <c r="G192"/>
  <c r="G262" s="1"/>
  <c r="G261"/>
  <c r="G195"/>
  <c r="G265" s="1"/>
  <c r="G264"/>
  <c r="H195"/>
  <c r="H265" s="1"/>
  <c r="H264"/>
  <c r="H192"/>
  <c r="H262" s="1"/>
  <c r="H261"/>
  <c r="I195"/>
  <c r="I265" s="1"/>
  <c r="I264"/>
  <c r="I192"/>
  <c r="I262" s="1"/>
  <c r="I261"/>
  <c r="R192"/>
  <c r="R262" s="1"/>
  <c r="R261"/>
  <c r="R195"/>
  <c r="R265" s="1"/>
  <c r="R264"/>
  <c r="Q192"/>
  <c r="Q262" s="1"/>
  <c r="Q261"/>
  <c r="Q195"/>
  <c r="Q265" s="1"/>
  <c r="Q264"/>
  <c r="P195"/>
  <c r="P265" s="1"/>
  <c r="P264"/>
  <c r="P192"/>
  <c r="P262" s="1"/>
  <c r="P261"/>
  <c r="O192"/>
  <c r="O262" s="1"/>
  <c r="O261"/>
  <c r="O195"/>
  <c r="O265" s="1"/>
  <c r="O264"/>
  <c r="N192"/>
  <c r="N262" s="1"/>
  <c r="N261"/>
  <c r="N195"/>
  <c r="N265" s="1"/>
  <c r="N264"/>
  <c r="M192"/>
  <c r="M262" s="1"/>
  <c r="M261"/>
  <c r="M195"/>
  <c r="M265" s="1"/>
  <c r="M264"/>
  <c r="L192"/>
  <c r="L262" s="1"/>
  <c r="L261"/>
  <c r="L195"/>
  <c r="L265" s="1"/>
  <c r="L264"/>
  <c r="K192"/>
  <c r="K262" s="1"/>
  <c r="K261"/>
  <c r="C192"/>
  <c r="C262" s="1"/>
  <c r="C261"/>
  <c r="J191"/>
  <c r="J260"/>
  <c r="U125"/>
  <c r="U265" s="1"/>
  <c r="U264"/>
  <c r="U122"/>
  <c r="U262" s="1"/>
  <c r="U261"/>
  <c r="S191"/>
  <c r="T190"/>
  <c r="T120"/>
  <c r="J121"/>
  <c r="J122" s="1"/>
  <c r="K125"/>
  <c r="S124"/>
  <c r="S125" s="1"/>
  <c r="J124"/>
  <c r="K195"/>
  <c r="S194"/>
  <c r="J194"/>
  <c r="U56"/>
  <c r="U57" s="1"/>
  <c r="O56"/>
  <c r="O57" s="1"/>
  <c r="N56"/>
  <c r="N57" s="1"/>
  <c r="N196"/>
  <c r="M126"/>
  <c r="M127" s="1"/>
  <c r="L56"/>
  <c r="L57" s="1"/>
  <c r="L196"/>
  <c r="K126"/>
  <c r="I126"/>
  <c r="I127" s="1"/>
  <c r="R56"/>
  <c r="R57" s="1"/>
  <c r="Q56"/>
  <c r="Q57" s="1"/>
  <c r="Q196"/>
  <c r="P126"/>
  <c r="P127" s="1"/>
  <c r="O126"/>
  <c r="O127" s="1"/>
  <c r="I196"/>
  <c r="U197"/>
  <c r="R196"/>
  <c r="O196"/>
  <c r="L126"/>
  <c r="L127" s="1"/>
  <c r="H126"/>
  <c r="H127" s="1"/>
  <c r="G56"/>
  <c r="G57" s="1"/>
  <c r="G196"/>
  <c r="K196"/>
  <c r="H196"/>
  <c r="G127"/>
  <c r="Q126"/>
  <c r="Q127" s="1"/>
  <c r="N126"/>
  <c r="N127" s="1"/>
  <c r="K56"/>
  <c r="K57" s="1"/>
  <c r="H56"/>
  <c r="H57" s="1"/>
  <c r="F56"/>
  <c r="F57" s="1"/>
  <c r="E56"/>
  <c r="E57" s="1"/>
  <c r="E196"/>
  <c r="P56"/>
  <c r="P57" s="1"/>
  <c r="M56"/>
  <c r="M57" s="1"/>
  <c r="F126"/>
  <c r="F127" s="1"/>
  <c r="U127"/>
  <c r="R126"/>
  <c r="R127" s="1"/>
  <c r="P196"/>
  <c r="M196"/>
  <c r="I56"/>
  <c r="I57" s="1"/>
  <c r="E126"/>
  <c r="E127" s="1"/>
  <c r="F196"/>
  <c r="C55"/>
  <c r="C125"/>
  <c r="C195"/>
  <c r="D196"/>
  <c r="C126"/>
  <c r="D126"/>
  <c r="D127" s="1"/>
  <c r="C56"/>
  <c r="C196"/>
  <c r="D56"/>
  <c r="D57" s="1"/>
  <c r="A58"/>
  <c r="A39" i="84"/>
  <c r="U267" i="85" l="1"/>
  <c r="C265"/>
  <c r="S264"/>
  <c r="C266"/>
  <c r="T260"/>
  <c r="K266"/>
  <c r="K265"/>
  <c r="D197"/>
  <c r="D267" s="1"/>
  <c r="D266"/>
  <c r="E197"/>
  <c r="E267" s="1"/>
  <c r="E266"/>
  <c r="F197"/>
  <c r="F267" s="1"/>
  <c r="F266"/>
  <c r="G197"/>
  <c r="G267" s="1"/>
  <c r="G266"/>
  <c r="H197"/>
  <c r="H267" s="1"/>
  <c r="H266"/>
  <c r="I197"/>
  <c r="I267" s="1"/>
  <c r="I266"/>
  <c r="R197"/>
  <c r="R267" s="1"/>
  <c r="R266"/>
  <c r="Q197"/>
  <c r="Q267" s="1"/>
  <c r="Q266"/>
  <c r="P197"/>
  <c r="P267" s="1"/>
  <c r="P266"/>
  <c r="O197"/>
  <c r="O267" s="1"/>
  <c r="O266"/>
  <c r="N197"/>
  <c r="N267" s="1"/>
  <c r="N266"/>
  <c r="M197"/>
  <c r="M267" s="1"/>
  <c r="M266"/>
  <c r="L197"/>
  <c r="L267" s="1"/>
  <c r="L266"/>
  <c r="S192"/>
  <c r="S262" s="1"/>
  <c r="S261"/>
  <c r="J195"/>
  <c r="J264"/>
  <c r="J192"/>
  <c r="J262" s="1"/>
  <c r="J261"/>
  <c r="S195"/>
  <c r="S265" s="1"/>
  <c r="T194"/>
  <c r="T124"/>
  <c r="J125"/>
  <c r="J126"/>
  <c r="K127"/>
  <c r="S126"/>
  <c r="S127" s="1"/>
  <c r="J196"/>
  <c r="K197"/>
  <c r="S196"/>
  <c r="U128"/>
  <c r="R198"/>
  <c r="Q128"/>
  <c r="Q129" s="1"/>
  <c r="Q130" s="1"/>
  <c r="P58"/>
  <c r="P59" s="1"/>
  <c r="P60" s="1"/>
  <c r="P198"/>
  <c r="I58"/>
  <c r="I59" s="1"/>
  <c r="I60" s="1"/>
  <c r="H58"/>
  <c r="H59" s="1"/>
  <c r="H60" s="1"/>
  <c r="O58"/>
  <c r="O59" s="1"/>
  <c r="O60" s="1"/>
  <c r="N58"/>
  <c r="N59" s="1"/>
  <c r="N60" s="1"/>
  <c r="N198"/>
  <c r="M128"/>
  <c r="M129" s="1"/>
  <c r="M130" s="1"/>
  <c r="L58"/>
  <c r="L59" s="1"/>
  <c r="L60" s="1"/>
  <c r="L198"/>
  <c r="K128"/>
  <c r="I128"/>
  <c r="I129" s="1"/>
  <c r="I130" s="1"/>
  <c r="U58"/>
  <c r="U59" s="1"/>
  <c r="U60" s="1"/>
  <c r="R128"/>
  <c r="R129" s="1"/>
  <c r="R130" s="1"/>
  <c r="Q198"/>
  <c r="M198"/>
  <c r="F198"/>
  <c r="E128"/>
  <c r="E129" s="1"/>
  <c r="E130" s="1"/>
  <c r="K58"/>
  <c r="K59" s="1"/>
  <c r="K60" s="1"/>
  <c r="U198"/>
  <c r="U199" s="1"/>
  <c r="U200" s="1"/>
  <c r="P128"/>
  <c r="P129" s="1"/>
  <c r="P130" s="1"/>
  <c r="O198"/>
  <c r="L128"/>
  <c r="L129" s="1"/>
  <c r="L130" s="1"/>
  <c r="H128"/>
  <c r="H129" s="1"/>
  <c r="H130" s="1"/>
  <c r="G58"/>
  <c r="G59" s="1"/>
  <c r="G60" s="1"/>
  <c r="G198"/>
  <c r="E58"/>
  <c r="E59" s="1"/>
  <c r="E60" s="1"/>
  <c r="R58"/>
  <c r="R59" s="1"/>
  <c r="R60" s="1"/>
  <c r="N128"/>
  <c r="N129" s="1"/>
  <c r="N130" s="1"/>
  <c r="F58"/>
  <c r="F59" s="1"/>
  <c r="F60" s="1"/>
  <c r="Q58"/>
  <c r="Q59" s="1"/>
  <c r="Q60" s="1"/>
  <c r="O128"/>
  <c r="O129" s="1"/>
  <c r="O130" s="1"/>
  <c r="M58"/>
  <c r="M59" s="1"/>
  <c r="M60" s="1"/>
  <c r="K198"/>
  <c r="I198"/>
  <c r="H198"/>
  <c r="E198"/>
  <c r="F128"/>
  <c r="F129" s="1"/>
  <c r="F130" s="1"/>
  <c r="G129"/>
  <c r="G130" s="1"/>
  <c r="C57"/>
  <c r="C127"/>
  <c r="C197"/>
  <c r="D58"/>
  <c r="D59" s="1"/>
  <c r="D60" s="1"/>
  <c r="D128"/>
  <c r="D129" s="1"/>
  <c r="D130" s="1"/>
  <c r="C58"/>
  <c r="C198"/>
  <c r="D198"/>
  <c r="C128"/>
  <c r="A62"/>
  <c r="A40" i="84"/>
  <c r="K267" i="85" l="1"/>
  <c r="C268"/>
  <c r="C267"/>
  <c r="J265"/>
  <c r="T264"/>
  <c r="K268"/>
  <c r="S266"/>
  <c r="D199"/>
  <c r="D268"/>
  <c r="E199"/>
  <c r="E268"/>
  <c r="F199"/>
  <c r="F268"/>
  <c r="G199"/>
  <c r="G268"/>
  <c r="H199"/>
  <c r="H268"/>
  <c r="I199"/>
  <c r="I268"/>
  <c r="R199"/>
  <c r="R268"/>
  <c r="Q199"/>
  <c r="Q268"/>
  <c r="P199"/>
  <c r="P268"/>
  <c r="O199"/>
  <c r="O268"/>
  <c r="N199"/>
  <c r="N268"/>
  <c r="M199"/>
  <c r="M268"/>
  <c r="L199"/>
  <c r="L268"/>
  <c r="J197"/>
  <c r="J266"/>
  <c r="U129"/>
  <c r="U268"/>
  <c r="S197"/>
  <c r="S267" s="1"/>
  <c r="T196"/>
  <c r="T126"/>
  <c r="J127"/>
  <c r="J128"/>
  <c r="K199"/>
  <c r="S198"/>
  <c r="J198"/>
  <c r="K129"/>
  <c r="K130" s="1"/>
  <c r="S128"/>
  <c r="S129" s="1"/>
  <c r="S130" s="1"/>
  <c r="R132"/>
  <c r="R133" s="1"/>
  <c r="O202"/>
  <c r="N132"/>
  <c r="N133" s="1"/>
  <c r="M62"/>
  <c r="M63" s="1"/>
  <c r="M202"/>
  <c r="L132"/>
  <c r="L133" s="1"/>
  <c r="K62"/>
  <c r="K63" s="1"/>
  <c r="K202"/>
  <c r="U133"/>
  <c r="U203"/>
  <c r="R202"/>
  <c r="Q132"/>
  <c r="Q133" s="1"/>
  <c r="P62"/>
  <c r="P63" s="1"/>
  <c r="P202"/>
  <c r="I62"/>
  <c r="I63" s="1"/>
  <c r="H62"/>
  <c r="H63" s="1"/>
  <c r="Q62"/>
  <c r="Q63" s="1"/>
  <c r="O132"/>
  <c r="O133" s="1"/>
  <c r="N202"/>
  <c r="K132"/>
  <c r="I202"/>
  <c r="H202"/>
  <c r="G133"/>
  <c r="F132"/>
  <c r="F133" s="1"/>
  <c r="L62"/>
  <c r="L63" s="1"/>
  <c r="H132"/>
  <c r="H133" s="1"/>
  <c r="G62"/>
  <c r="G63" s="1"/>
  <c r="G202"/>
  <c r="U62"/>
  <c r="U63" s="1"/>
  <c r="Q202"/>
  <c r="O62"/>
  <c r="O63" s="1"/>
  <c r="M132"/>
  <c r="M133" s="1"/>
  <c r="I132"/>
  <c r="I133" s="1"/>
  <c r="F202"/>
  <c r="E132"/>
  <c r="E133" s="1"/>
  <c r="P132"/>
  <c r="P133" s="1"/>
  <c r="R62"/>
  <c r="R63" s="1"/>
  <c r="N62"/>
  <c r="N63" s="1"/>
  <c r="L202"/>
  <c r="F62"/>
  <c r="F63" s="1"/>
  <c r="E202"/>
  <c r="E62"/>
  <c r="E63" s="1"/>
  <c r="C59"/>
  <c r="C60" s="1"/>
  <c r="C129"/>
  <c r="C130" s="1"/>
  <c r="C199"/>
  <c r="D62"/>
  <c r="D63" s="1"/>
  <c r="D132"/>
  <c r="D133" s="1"/>
  <c r="C62"/>
  <c r="C202"/>
  <c r="D202"/>
  <c r="C132"/>
  <c r="A64"/>
  <c r="A41" i="84"/>
  <c r="C272" i="85" l="1"/>
  <c r="J267"/>
  <c r="T266"/>
  <c r="S268"/>
  <c r="K272"/>
  <c r="D200"/>
  <c r="D270" s="1"/>
  <c r="D269"/>
  <c r="D203"/>
  <c r="D273" s="1"/>
  <c r="D272"/>
  <c r="E200"/>
  <c r="E270" s="1"/>
  <c r="E269"/>
  <c r="E203"/>
  <c r="E273" s="1"/>
  <c r="E272"/>
  <c r="F200"/>
  <c r="F270" s="1"/>
  <c r="F269"/>
  <c r="F203"/>
  <c r="F273" s="1"/>
  <c r="F272"/>
  <c r="G200"/>
  <c r="G270" s="1"/>
  <c r="G269"/>
  <c r="G203"/>
  <c r="G273" s="1"/>
  <c r="G272"/>
  <c r="H203"/>
  <c r="H273" s="1"/>
  <c r="H272"/>
  <c r="H200"/>
  <c r="H270" s="1"/>
  <c r="H269"/>
  <c r="I203"/>
  <c r="I273" s="1"/>
  <c r="I272"/>
  <c r="I200"/>
  <c r="I270" s="1"/>
  <c r="I269"/>
  <c r="R203"/>
  <c r="R273" s="1"/>
  <c r="R272"/>
  <c r="R200"/>
  <c r="R270" s="1"/>
  <c r="R269"/>
  <c r="Q200"/>
  <c r="Q270" s="1"/>
  <c r="Q269"/>
  <c r="Q203"/>
  <c r="Q273" s="1"/>
  <c r="Q272"/>
  <c r="P203"/>
  <c r="P273" s="1"/>
  <c r="P272"/>
  <c r="P200"/>
  <c r="P270" s="1"/>
  <c r="P269"/>
  <c r="O200"/>
  <c r="O270" s="1"/>
  <c r="O269"/>
  <c r="O203"/>
  <c r="O273" s="1"/>
  <c r="O272"/>
  <c r="N200"/>
  <c r="N270" s="1"/>
  <c r="N269"/>
  <c r="N203"/>
  <c r="N273" s="1"/>
  <c r="N272"/>
  <c r="M200"/>
  <c r="M270" s="1"/>
  <c r="M269"/>
  <c r="M203"/>
  <c r="M273" s="1"/>
  <c r="M272"/>
  <c r="L200"/>
  <c r="L270" s="1"/>
  <c r="L269"/>
  <c r="L203"/>
  <c r="L273" s="1"/>
  <c r="L272"/>
  <c r="K200"/>
  <c r="K270" s="1"/>
  <c r="K269"/>
  <c r="C200"/>
  <c r="C270" s="1"/>
  <c r="C269"/>
  <c r="J199"/>
  <c r="J268"/>
  <c r="U273"/>
  <c r="U130"/>
  <c r="U270" s="1"/>
  <c r="U269"/>
  <c r="S199"/>
  <c r="T198"/>
  <c r="J129"/>
  <c r="J130" s="1"/>
  <c r="T128"/>
  <c r="J132"/>
  <c r="K133"/>
  <c r="S132"/>
  <c r="S133" s="1"/>
  <c r="K203"/>
  <c r="S202"/>
  <c r="J202"/>
  <c r="U64"/>
  <c r="U65" s="1"/>
  <c r="R64"/>
  <c r="R65" s="1"/>
  <c r="Q64"/>
  <c r="Q65" s="1"/>
  <c r="Q204"/>
  <c r="P134"/>
  <c r="P135" s="1"/>
  <c r="O134"/>
  <c r="O135" s="1"/>
  <c r="I204"/>
  <c r="R134"/>
  <c r="R135" s="1"/>
  <c r="O204"/>
  <c r="N134"/>
  <c r="N135" s="1"/>
  <c r="M64"/>
  <c r="M65" s="1"/>
  <c r="M204"/>
  <c r="L134"/>
  <c r="L135" s="1"/>
  <c r="K64"/>
  <c r="K65" s="1"/>
  <c r="K204"/>
  <c r="P204"/>
  <c r="N64"/>
  <c r="N65" s="1"/>
  <c r="L204"/>
  <c r="I64"/>
  <c r="I65" s="1"/>
  <c r="F64"/>
  <c r="F65" s="1"/>
  <c r="E64"/>
  <c r="E65" s="1"/>
  <c r="E204"/>
  <c r="H64"/>
  <c r="H65" s="1"/>
  <c r="F204"/>
  <c r="U134"/>
  <c r="R204"/>
  <c r="N204"/>
  <c r="K134"/>
  <c r="H204"/>
  <c r="G135"/>
  <c r="F134"/>
  <c r="F135" s="1"/>
  <c r="I134"/>
  <c r="I135" s="1"/>
  <c r="E134"/>
  <c r="E135" s="1"/>
  <c r="U204"/>
  <c r="U205" s="1"/>
  <c r="Q134"/>
  <c r="Q135" s="1"/>
  <c r="O64"/>
  <c r="O65" s="1"/>
  <c r="M134"/>
  <c r="M135" s="1"/>
  <c r="P64"/>
  <c r="P65" s="1"/>
  <c r="L64"/>
  <c r="L65" s="1"/>
  <c r="H134"/>
  <c r="H135" s="1"/>
  <c r="G64"/>
  <c r="G65" s="1"/>
  <c r="G204"/>
  <c r="C63"/>
  <c r="C133"/>
  <c r="C203"/>
  <c r="C273" s="1"/>
  <c r="D204"/>
  <c r="C134"/>
  <c r="D64"/>
  <c r="D65" s="1"/>
  <c r="D134"/>
  <c r="D135" s="1"/>
  <c r="C64"/>
  <c r="C204"/>
  <c r="A66"/>
  <c r="A42" i="84"/>
  <c r="C274" i="85" l="1"/>
  <c r="T268"/>
  <c r="S272"/>
  <c r="K273"/>
  <c r="K274"/>
  <c r="D205"/>
  <c r="D275" s="1"/>
  <c r="D274"/>
  <c r="E205"/>
  <c r="E275" s="1"/>
  <c r="E274"/>
  <c r="F205"/>
  <c r="F275" s="1"/>
  <c r="F274"/>
  <c r="G205"/>
  <c r="G275" s="1"/>
  <c r="G274"/>
  <c r="H205"/>
  <c r="H275" s="1"/>
  <c r="H274"/>
  <c r="I205"/>
  <c r="I275" s="1"/>
  <c r="I274"/>
  <c r="R205"/>
  <c r="R275" s="1"/>
  <c r="R274"/>
  <c r="Q205"/>
  <c r="Q275" s="1"/>
  <c r="Q274"/>
  <c r="P205"/>
  <c r="P275" s="1"/>
  <c r="P274"/>
  <c r="O205"/>
  <c r="O275" s="1"/>
  <c r="O274"/>
  <c r="N205"/>
  <c r="N275" s="1"/>
  <c r="N274"/>
  <c r="M205"/>
  <c r="M275" s="1"/>
  <c r="M274"/>
  <c r="L205"/>
  <c r="L275" s="1"/>
  <c r="L274"/>
  <c r="S200"/>
  <c r="S270" s="1"/>
  <c r="S269"/>
  <c r="J200"/>
  <c r="J270" s="1"/>
  <c r="J269"/>
  <c r="J203"/>
  <c r="J272"/>
  <c r="U135"/>
  <c r="U275" s="1"/>
  <c r="U274"/>
  <c r="S203"/>
  <c r="S273" s="1"/>
  <c r="T202"/>
  <c r="J133"/>
  <c r="T132"/>
  <c r="J204"/>
  <c r="K135"/>
  <c r="S134"/>
  <c r="S135" s="1"/>
  <c r="K205"/>
  <c r="S204"/>
  <c r="J134"/>
  <c r="U136"/>
  <c r="O66"/>
  <c r="O67" s="1"/>
  <c r="O68" s="1"/>
  <c r="O70" s="1"/>
  <c r="O72" s="1"/>
  <c r="N66"/>
  <c r="N67" s="1"/>
  <c r="N68" s="1"/>
  <c r="N70" s="1"/>
  <c r="N72" s="1"/>
  <c r="N206"/>
  <c r="M136"/>
  <c r="M137" s="1"/>
  <c r="M138" s="1"/>
  <c r="M140" s="1"/>
  <c r="M142" s="1"/>
  <c r="L66"/>
  <c r="L67" s="1"/>
  <c r="L68" s="1"/>
  <c r="L70" s="1"/>
  <c r="L72" s="1"/>
  <c r="L206"/>
  <c r="K136"/>
  <c r="I136"/>
  <c r="I137" s="1"/>
  <c r="I138" s="1"/>
  <c r="R66"/>
  <c r="R67" s="1"/>
  <c r="R68" s="1"/>
  <c r="R70" s="1"/>
  <c r="R72" s="1"/>
  <c r="Q66"/>
  <c r="Q67" s="1"/>
  <c r="Q68" s="1"/>
  <c r="Q70" s="1"/>
  <c r="Q72" s="1"/>
  <c r="Q206"/>
  <c r="P136"/>
  <c r="P137" s="1"/>
  <c r="P138" s="1"/>
  <c r="P140" s="1"/>
  <c r="P142" s="1"/>
  <c r="O136"/>
  <c r="O137" s="1"/>
  <c r="O138" s="1"/>
  <c r="O140" s="1"/>
  <c r="O142" s="1"/>
  <c r="I206"/>
  <c r="P66"/>
  <c r="P67" s="1"/>
  <c r="P68" s="1"/>
  <c r="P70" s="1"/>
  <c r="P72" s="1"/>
  <c r="M66"/>
  <c r="M67" s="1"/>
  <c r="M68" s="1"/>
  <c r="M70" s="1"/>
  <c r="M72" s="1"/>
  <c r="K206"/>
  <c r="H136"/>
  <c r="H137" s="1"/>
  <c r="H138" s="1"/>
  <c r="H140" s="1"/>
  <c r="H142" s="1"/>
  <c r="G66"/>
  <c r="G67" s="1"/>
  <c r="G68" s="1"/>
  <c r="G70" s="1"/>
  <c r="G72" s="1"/>
  <c r="G206"/>
  <c r="L136"/>
  <c r="L137" s="1"/>
  <c r="L138" s="1"/>
  <c r="L140" s="1"/>
  <c r="L142" s="1"/>
  <c r="H206"/>
  <c r="F136"/>
  <c r="F137" s="1"/>
  <c r="F138" s="1"/>
  <c r="F140" s="1"/>
  <c r="F142" s="1"/>
  <c r="R136"/>
  <c r="R137" s="1"/>
  <c r="R138" s="1"/>
  <c r="R140" s="1"/>
  <c r="R142" s="1"/>
  <c r="P206"/>
  <c r="M206"/>
  <c r="I66"/>
  <c r="I67" s="1"/>
  <c r="I68" s="1"/>
  <c r="I70" s="1"/>
  <c r="I72" s="1"/>
  <c r="F66"/>
  <c r="F67" s="1"/>
  <c r="F68" s="1"/>
  <c r="F70" s="1"/>
  <c r="F72" s="1"/>
  <c r="E66"/>
  <c r="E67" s="1"/>
  <c r="E68" s="1"/>
  <c r="E70" s="1"/>
  <c r="E72" s="1"/>
  <c r="E206"/>
  <c r="U66"/>
  <c r="U67" s="1"/>
  <c r="U68" s="1"/>
  <c r="U70" s="1"/>
  <c r="U72" s="1"/>
  <c r="R206"/>
  <c r="O206"/>
  <c r="G137"/>
  <c r="G138" s="1"/>
  <c r="G140" s="1"/>
  <c r="G142" s="1"/>
  <c r="U206"/>
  <c r="U207" s="1"/>
  <c r="U208" s="1"/>
  <c r="U210" s="1"/>
  <c r="U212" s="1"/>
  <c r="Q136"/>
  <c r="Q137" s="1"/>
  <c r="Q138" s="1"/>
  <c r="Q140" s="1"/>
  <c r="Q142" s="1"/>
  <c r="N136"/>
  <c r="N137" s="1"/>
  <c r="N138" s="1"/>
  <c r="N140" s="1"/>
  <c r="N142" s="1"/>
  <c r="K66"/>
  <c r="K67" s="1"/>
  <c r="K68" s="1"/>
  <c r="K70" s="1"/>
  <c r="K72" s="1"/>
  <c r="H66"/>
  <c r="H67" s="1"/>
  <c r="H68" s="1"/>
  <c r="H70" s="1"/>
  <c r="H72" s="1"/>
  <c r="F206"/>
  <c r="E136"/>
  <c r="E137" s="1"/>
  <c r="E138" s="1"/>
  <c r="E140" s="1"/>
  <c r="E142" s="1"/>
  <c r="C65"/>
  <c r="C135"/>
  <c r="C205"/>
  <c r="D206"/>
  <c r="C136"/>
  <c r="D66"/>
  <c r="D67" s="1"/>
  <c r="D68" s="1"/>
  <c r="D70" s="1"/>
  <c r="D72" s="1"/>
  <c r="D136"/>
  <c r="D137" s="1"/>
  <c r="D138" s="1"/>
  <c r="D140" s="1"/>
  <c r="D142" s="1"/>
  <c r="C66"/>
  <c r="C206"/>
  <c r="A43" i="84"/>
  <c r="C276" i="85" l="1"/>
  <c r="C275"/>
  <c r="J273"/>
  <c r="S274"/>
  <c r="T272"/>
  <c r="K275"/>
  <c r="K276"/>
  <c r="D207"/>
  <c r="D276"/>
  <c r="E207"/>
  <c r="E276"/>
  <c r="F207"/>
  <c r="F276"/>
  <c r="G207"/>
  <c r="G276"/>
  <c r="H207"/>
  <c r="H276"/>
  <c r="I207"/>
  <c r="I276"/>
  <c r="R207"/>
  <c r="R276"/>
  <c r="Q207"/>
  <c r="Q276"/>
  <c r="P207"/>
  <c r="P276"/>
  <c r="O207"/>
  <c r="O276"/>
  <c r="N207"/>
  <c r="N276"/>
  <c r="M207"/>
  <c r="M276"/>
  <c r="L207"/>
  <c r="L276"/>
  <c r="J205"/>
  <c r="J274"/>
  <c r="U137"/>
  <c r="U276"/>
  <c r="S205"/>
  <c r="S275" s="1"/>
  <c r="T204"/>
  <c r="T134"/>
  <c r="J135"/>
  <c r="I140"/>
  <c r="K207"/>
  <c r="S206"/>
  <c r="J136"/>
  <c r="S138"/>
  <c r="S140" s="1"/>
  <c r="S142" s="1"/>
  <c r="K137"/>
  <c r="K138" s="1"/>
  <c r="K140" s="1"/>
  <c r="K142" s="1"/>
  <c r="S136"/>
  <c r="S137" s="1"/>
  <c r="J206"/>
  <c r="C67"/>
  <c r="C68" s="1"/>
  <c r="C70" s="1"/>
  <c r="C72" s="1"/>
  <c r="C137"/>
  <c r="C138" s="1"/>
  <c r="C140" s="1"/>
  <c r="C142" s="1"/>
  <c r="C207"/>
  <c r="A44" i="84"/>
  <c r="T274" i="85" l="1"/>
  <c r="J275"/>
  <c r="S276"/>
  <c r="D208"/>
  <c r="D277"/>
  <c r="E208"/>
  <c r="E277"/>
  <c r="F208"/>
  <c r="F277"/>
  <c r="G208"/>
  <c r="G277"/>
  <c r="H208"/>
  <c r="H277"/>
  <c r="I208"/>
  <c r="I277"/>
  <c r="R208"/>
  <c r="R277"/>
  <c r="Q208"/>
  <c r="Q277"/>
  <c r="P208"/>
  <c r="P277"/>
  <c r="O208"/>
  <c r="O277"/>
  <c r="N208"/>
  <c r="N277"/>
  <c r="M208"/>
  <c r="M277"/>
  <c r="L208"/>
  <c r="L277"/>
  <c r="K208"/>
  <c r="K277"/>
  <c r="J207"/>
  <c r="J276"/>
  <c r="C208"/>
  <c r="C277"/>
  <c r="U138"/>
  <c r="U277"/>
  <c r="S207"/>
  <c r="T206"/>
  <c r="T136"/>
  <c r="J137"/>
  <c r="J138" s="1"/>
  <c r="J140" s="1"/>
  <c r="J142" s="1"/>
  <c r="I142"/>
  <c r="A45" i="84"/>
  <c r="T276" i="85" l="1"/>
  <c r="D210"/>
  <c r="D278"/>
  <c r="E210"/>
  <c r="E278"/>
  <c r="F210"/>
  <c r="F278"/>
  <c r="G210"/>
  <c r="G278"/>
  <c r="H210"/>
  <c r="H278"/>
  <c r="I210"/>
  <c r="I278"/>
  <c r="R210"/>
  <c r="R278"/>
  <c r="Q210"/>
  <c r="Q278"/>
  <c r="P210"/>
  <c r="P278"/>
  <c r="O210"/>
  <c r="O278"/>
  <c r="N210"/>
  <c r="N278"/>
  <c r="M210"/>
  <c r="M278"/>
  <c r="L210"/>
  <c r="L278"/>
  <c r="S208"/>
  <c r="S277"/>
  <c r="K210"/>
  <c r="K278"/>
  <c r="C210"/>
  <c r="C278"/>
  <c r="J208"/>
  <c r="J277"/>
  <c r="U278"/>
  <c r="U140"/>
  <c r="A46" i="84"/>
  <c r="D212" i="85" l="1"/>
  <c r="D282" s="1"/>
  <c r="D280"/>
  <c r="E212"/>
  <c r="E282" s="1"/>
  <c r="E280"/>
  <c r="F212"/>
  <c r="F282" s="1"/>
  <c r="F280"/>
  <c r="G212"/>
  <c r="G282" s="1"/>
  <c r="G280"/>
  <c r="H212"/>
  <c r="H282" s="1"/>
  <c r="H280"/>
  <c r="I212"/>
  <c r="I282" s="1"/>
  <c r="I280"/>
  <c r="R212"/>
  <c r="R282" s="1"/>
  <c r="R280"/>
  <c r="Q212"/>
  <c r="Q282" s="1"/>
  <c r="Q280"/>
  <c r="P212"/>
  <c r="P282" s="1"/>
  <c r="P280"/>
  <c r="O212"/>
  <c r="O282" s="1"/>
  <c r="O280"/>
  <c r="N212"/>
  <c r="N282" s="1"/>
  <c r="N280"/>
  <c r="M212"/>
  <c r="M282" s="1"/>
  <c r="M280"/>
  <c r="L212"/>
  <c r="L282" s="1"/>
  <c r="L280"/>
  <c r="S210"/>
  <c r="S278"/>
  <c r="K212"/>
  <c r="K282" s="1"/>
  <c r="K280"/>
  <c r="C212"/>
  <c r="C282" s="1"/>
  <c r="C280"/>
  <c r="J210"/>
  <c r="J278"/>
  <c r="U142"/>
  <c r="U282" s="1"/>
  <c r="U280"/>
  <c r="A47" i="84"/>
  <c r="S212" i="85" l="1"/>
  <c r="S282" s="1"/>
  <c r="S280"/>
  <c r="J212"/>
  <c r="J282" s="1"/>
  <c r="J280"/>
  <c r="A48" i="84"/>
  <c r="A49" l="1"/>
  <c r="A50" l="1"/>
  <c r="A51" l="1"/>
  <c r="A52" l="1"/>
  <c r="A53" l="1"/>
  <c r="A54" l="1"/>
  <c r="A55" l="1"/>
  <c r="A56" l="1"/>
  <c r="A57" l="1"/>
  <c r="A58" l="1"/>
  <c r="A59" l="1"/>
  <c r="A60" l="1"/>
  <c r="A61" l="1"/>
  <c r="A62" l="1"/>
  <c r="A63" l="1"/>
  <c r="A64" l="1"/>
  <c r="A65" l="1"/>
  <c r="A66" l="1"/>
  <c r="A67" l="1"/>
  <c r="A68" l="1"/>
  <c r="A69" l="1"/>
  <c r="A70" l="1"/>
  <c r="A71" l="1"/>
  <c r="A72" l="1"/>
  <c r="A73" l="1"/>
  <c r="A74" l="1"/>
  <c r="A75" l="1"/>
  <c r="A76" l="1"/>
  <c r="A77" l="1"/>
  <c r="A78" l="1"/>
  <c r="A79" l="1"/>
  <c r="A80" l="1"/>
  <c r="A82" l="1"/>
  <c r="A83" l="1"/>
  <c r="A84" l="1"/>
  <c r="A85" l="1"/>
  <c r="A86" l="1"/>
  <c r="A87" l="1"/>
  <c r="A89" l="1"/>
  <c r="A93" l="1"/>
  <c r="A94" l="1"/>
  <c r="A95" l="1"/>
  <c r="A96" l="1"/>
  <c r="A97" l="1"/>
  <c r="A99" l="1"/>
  <c r="A100" l="1"/>
  <c r="A101" l="1"/>
  <c r="A103" l="1"/>
  <c r="A104" l="1"/>
  <c r="A105" l="1"/>
  <c r="A106" l="1"/>
  <c r="A107" l="1"/>
  <c r="A108" l="1"/>
  <c r="S50" i="85"/>
  <c r="S48"/>
  <c r="A109" i="84" l="1"/>
  <c r="S51" i="85"/>
  <c r="S49"/>
  <c r="S54"/>
  <c r="A113" i="84" l="1"/>
  <c r="A114" s="1"/>
  <c r="S55" i="85"/>
  <c r="A115" i="84" l="1"/>
  <c r="A116" l="1"/>
  <c r="A117" l="1"/>
  <c r="A118" l="1"/>
  <c r="A120" l="1"/>
  <c r="S66" i="85" l="1"/>
  <c r="S64"/>
  <c r="A122" i="84"/>
  <c r="S67" i="85" l="1"/>
  <c r="S65"/>
  <c r="S62"/>
  <c r="S58"/>
  <c r="A126" i="84"/>
  <c r="Y278" i="85" l="1"/>
  <c r="S63"/>
  <c r="S68" s="1"/>
  <c r="S59"/>
  <c r="A127" i="84"/>
  <c r="A128" l="1"/>
  <c r="A129" l="1"/>
  <c r="A130" l="1"/>
  <c r="A132" l="1"/>
  <c r="A134" l="1"/>
  <c r="A138" l="1"/>
  <c r="A140" l="1"/>
  <c r="J48" i="85" l="1"/>
  <c r="A141" i="84"/>
  <c r="J49" i="85" l="1"/>
  <c r="T48"/>
  <c r="J50"/>
  <c r="A143" i="84"/>
  <c r="J51" i="85" l="1"/>
  <c r="T50"/>
  <c r="T189"/>
  <c r="V188"/>
  <c r="V189" s="1"/>
  <c r="T49"/>
  <c r="V48"/>
  <c r="V49" s="1"/>
  <c r="T119"/>
  <c r="V118"/>
  <c r="J54"/>
  <c r="A147" i="84"/>
  <c r="T259" i="85" l="1"/>
  <c r="V119"/>
  <c r="V259" s="1"/>
  <c r="V258"/>
  <c r="J55"/>
  <c r="T54"/>
  <c r="T121"/>
  <c r="V120"/>
  <c r="T191"/>
  <c r="V190"/>
  <c r="V191" s="1"/>
  <c r="T51"/>
  <c r="V50"/>
  <c r="V51" s="1"/>
  <c r="A148" i="84"/>
  <c r="T261" i="85" l="1"/>
  <c r="V121"/>
  <c r="V261" s="1"/>
  <c r="V260"/>
  <c r="T125"/>
  <c r="V124"/>
  <c r="T195"/>
  <c r="V194"/>
  <c r="V195" s="1"/>
  <c r="T55"/>
  <c r="V54"/>
  <c r="V55" s="1"/>
  <c r="J56"/>
  <c r="J57" s="1"/>
  <c r="A149" i="84"/>
  <c r="T265" i="85" l="1"/>
  <c r="V125"/>
  <c r="V265" s="1"/>
  <c r="V264"/>
  <c r="A150" i="84"/>
  <c r="S56" i="85" l="1"/>
  <c r="T56" s="1"/>
  <c r="A151" i="84"/>
  <c r="S57" i="85" l="1"/>
  <c r="S60" s="1"/>
  <c r="A153" i="84"/>
  <c r="Y270" i="85" l="1"/>
  <c r="T197"/>
  <c r="V196"/>
  <c r="V197" s="1"/>
  <c r="T57"/>
  <c r="V56"/>
  <c r="V57" s="1"/>
  <c r="T127"/>
  <c r="V126"/>
  <c r="G80" i="70"/>
  <c r="K80" s="1"/>
  <c r="A155" i="84"/>
  <c r="I242" i="64"/>
  <c r="T267" i="85" l="1"/>
  <c r="V127"/>
  <c r="V267" s="1"/>
  <c r="V266"/>
  <c r="D21" i="70"/>
  <c r="J58" i="85"/>
  <c r="G79" i="70"/>
  <c r="K79" s="1"/>
  <c r="G81"/>
  <c r="K81" s="1"/>
  <c r="C13" i="90"/>
  <c r="J59" i="85" l="1"/>
  <c r="J60" s="1"/>
  <c r="T58"/>
  <c r="T59" s="1"/>
  <c r="T60" s="1"/>
  <c r="X270"/>
  <c r="J62"/>
  <c r="H242" i="64"/>
  <c r="G78" i="70"/>
  <c r="F78"/>
  <c r="F82" s="1"/>
  <c r="G242" i="64"/>
  <c r="K242" s="1"/>
  <c r="H12" i="72"/>
  <c r="D13" i="90"/>
  <c r="G82" i="70" l="1"/>
  <c r="K78"/>
  <c r="V58" i="85"/>
  <c r="V59" s="1"/>
  <c r="V60" s="1"/>
  <c r="J63"/>
  <c r="T62"/>
  <c r="G21" i="70"/>
  <c r="K21" s="1"/>
  <c r="T199" i="85"/>
  <c r="V198"/>
  <c r="V199" s="1"/>
  <c r="V200" s="1"/>
  <c r="T129"/>
  <c r="T130" s="1"/>
  <c r="V128"/>
  <c r="J64"/>
  <c r="J66"/>
  <c r="G226" i="64"/>
  <c r="F84" i="70"/>
  <c r="H146" i="64"/>
  <c r="I12" i="72"/>
  <c r="E13" i="90"/>
  <c r="I51" i="64"/>
  <c r="H226"/>
  <c r="G146"/>
  <c r="K146" s="1"/>
  <c r="I226"/>
  <c r="I146"/>
  <c r="T200" i="85" l="1"/>
  <c r="T270" s="1"/>
  <c r="T269"/>
  <c r="V129"/>
  <c r="V268"/>
  <c r="G84" i="70"/>
  <c r="K84" s="1"/>
  <c r="K82"/>
  <c r="J67" i="85"/>
  <c r="T66"/>
  <c r="J65"/>
  <c r="T64"/>
  <c r="T203"/>
  <c r="V202"/>
  <c r="T63"/>
  <c r="V62"/>
  <c r="V63" s="1"/>
  <c r="T133"/>
  <c r="V132"/>
  <c r="I58" i="64"/>
  <c r="G132"/>
  <c r="G51"/>
  <c r="G165"/>
  <c r="K165" s="1"/>
  <c r="I44"/>
  <c r="I132"/>
  <c r="G58"/>
  <c r="K58" s="1"/>
  <c r="I165"/>
  <c r="I123"/>
  <c r="H159"/>
  <c r="G150"/>
  <c r="G159"/>
  <c r="K159" s="1"/>
  <c r="G44"/>
  <c r="K44" s="1"/>
  <c r="G12"/>
  <c r="G123"/>
  <c r="J12" i="72"/>
  <c r="K12" s="1"/>
  <c r="L12" s="1"/>
  <c r="F13" i="90"/>
  <c r="H123" i="64"/>
  <c r="K123" s="1"/>
  <c r="H132"/>
  <c r="G32"/>
  <c r="K32" s="1"/>
  <c r="H64"/>
  <c r="K64" s="1"/>
  <c r="I159"/>
  <c r="H150"/>
  <c r="G64"/>
  <c r="I64"/>
  <c r="H165"/>
  <c r="I150"/>
  <c r="K150" l="1"/>
  <c r="K132"/>
  <c r="G11"/>
  <c r="K12"/>
  <c r="T273" i="85"/>
  <c r="V130"/>
  <c r="V270" s="1"/>
  <c r="V269"/>
  <c r="V133"/>
  <c r="V272"/>
  <c r="V203"/>
  <c r="J68"/>
  <c r="X278"/>
  <c r="T207"/>
  <c r="V206"/>
  <c r="V207" s="1"/>
  <c r="T135"/>
  <c r="V134"/>
  <c r="T67"/>
  <c r="V66"/>
  <c r="V67" s="1"/>
  <c r="T205"/>
  <c r="V204"/>
  <c r="V205" s="1"/>
  <c r="T137"/>
  <c r="V136"/>
  <c r="T65"/>
  <c r="V64"/>
  <c r="V65" s="1"/>
  <c r="J6"/>
  <c r="G116" i="64"/>
  <c r="I73"/>
  <c r="I72" s="1"/>
  <c r="I71" s="1"/>
  <c r="I101" s="1"/>
  <c r="I12"/>
  <c r="I11" s="1"/>
  <c r="I32"/>
  <c r="G50"/>
  <c r="I50"/>
  <c r="H149"/>
  <c r="G149"/>
  <c r="I223"/>
  <c r="H110"/>
  <c r="G73"/>
  <c r="G72" s="1"/>
  <c r="G71" s="1"/>
  <c r="G101" s="1"/>
  <c r="G223"/>
  <c r="G110"/>
  <c r="K110" s="1"/>
  <c r="I116"/>
  <c r="G25"/>
  <c r="K25" s="1"/>
  <c r="H116"/>
  <c r="H25"/>
  <c r="I110"/>
  <c r="M12" i="72"/>
  <c r="N12" s="1"/>
  <c r="O12" s="1"/>
  <c r="P12" s="1"/>
  <c r="Q12" s="1"/>
  <c r="R12" s="1"/>
  <c r="S12" s="1"/>
  <c r="T12" s="1"/>
  <c r="U12" s="1"/>
  <c r="V12" s="1"/>
  <c r="W12" s="1"/>
  <c r="X12" s="1"/>
  <c r="I25" i="64"/>
  <c r="G224"/>
  <c r="I149"/>
  <c r="K116" l="1"/>
  <c r="K149"/>
  <c r="G10"/>
  <c r="G70" s="1"/>
  <c r="G102" s="1"/>
  <c r="T275" i="85"/>
  <c r="T277"/>
  <c r="V273"/>
  <c r="V137"/>
  <c r="V277" s="1"/>
  <c r="V276"/>
  <c r="V135"/>
  <c r="V275" s="1"/>
  <c r="V274"/>
  <c r="V68"/>
  <c r="T138"/>
  <c r="V208"/>
  <c r="S12"/>
  <c r="S6"/>
  <c r="T6" s="1"/>
  <c r="V6" s="1"/>
  <c r="S11"/>
  <c r="S8"/>
  <c r="S7"/>
  <c r="S13"/>
  <c r="S10"/>
  <c r="S9"/>
  <c r="T68"/>
  <c r="T208"/>
  <c r="S18"/>
  <c r="J13"/>
  <c r="J11"/>
  <c r="V146"/>
  <c r="V76"/>
  <c r="J10"/>
  <c r="J7"/>
  <c r="J18"/>
  <c r="J19" s="1"/>
  <c r="J8"/>
  <c r="J9"/>
  <c r="J12"/>
  <c r="I224" i="64"/>
  <c r="I222" s="1"/>
  <c r="H58"/>
  <c r="H44"/>
  <c r="H12"/>
  <c r="H11" s="1"/>
  <c r="K11" s="1"/>
  <c r="H51"/>
  <c r="K51" s="1"/>
  <c r="I10"/>
  <c r="I70" s="1"/>
  <c r="I102" s="1"/>
  <c r="G215"/>
  <c r="I215"/>
  <c r="H109"/>
  <c r="I109"/>
  <c r="I176" s="1"/>
  <c r="G222"/>
  <c r="G109"/>
  <c r="G176" s="1"/>
  <c r="H176" l="1"/>
  <c r="K176" s="1"/>
  <c r="K109"/>
  <c r="T278" i="85"/>
  <c r="V216"/>
  <c r="V138"/>
  <c r="V278" s="1"/>
  <c r="T8"/>
  <c r="V8" s="1"/>
  <c r="J14"/>
  <c r="T9"/>
  <c r="V9" s="1"/>
  <c r="T13"/>
  <c r="V13" s="1"/>
  <c r="T12"/>
  <c r="V12" s="1"/>
  <c r="T10"/>
  <c r="V10" s="1"/>
  <c r="T7"/>
  <c r="V7" s="1"/>
  <c r="T11"/>
  <c r="V11" s="1"/>
  <c r="T18"/>
  <c r="S14"/>
  <c r="S15"/>
  <c r="S16"/>
  <c r="S19"/>
  <c r="V79"/>
  <c r="V80"/>
  <c r="V83"/>
  <c r="V82"/>
  <c r="V81"/>
  <c r="V77"/>
  <c r="V78"/>
  <c r="V153"/>
  <c r="V147"/>
  <c r="V152"/>
  <c r="V149"/>
  <c r="V150"/>
  <c r="V151"/>
  <c r="V148"/>
  <c r="V155"/>
  <c r="J15"/>
  <c r="J16"/>
  <c r="H50" i="64"/>
  <c r="H32"/>
  <c r="H10" s="1"/>
  <c r="K10" s="1"/>
  <c r="H223"/>
  <c r="H73"/>
  <c r="H72" s="1"/>
  <c r="H71" s="1"/>
  <c r="H101" s="1"/>
  <c r="H224"/>
  <c r="I214"/>
  <c r="I213" s="1"/>
  <c r="G214"/>
  <c r="G213" s="1"/>
  <c r="H215" l="1"/>
  <c r="K215" s="1"/>
  <c r="K50"/>
  <c r="V220" i="85"/>
  <c r="V223"/>
  <c r="V217"/>
  <c r="V222"/>
  <c r="V218"/>
  <c r="V219"/>
  <c r="V221"/>
  <c r="H70" i="64"/>
  <c r="J17" i="85"/>
  <c r="J20" s="1"/>
  <c r="T15"/>
  <c r="T17" s="1"/>
  <c r="T16"/>
  <c r="V16" s="1"/>
  <c r="V14"/>
  <c r="T14"/>
  <c r="S17"/>
  <c r="S20" s="1"/>
  <c r="Y230"/>
  <c r="V154"/>
  <c r="V84"/>
  <c r="T89"/>
  <c r="V88"/>
  <c r="T159"/>
  <c r="V158"/>
  <c r="V159" s="1"/>
  <c r="T19"/>
  <c r="V18"/>
  <c r="V19" s="1"/>
  <c r="T84"/>
  <c r="V86"/>
  <c r="V85"/>
  <c r="V225" s="1"/>
  <c r="T154"/>
  <c r="H214" i="64"/>
  <c r="H222"/>
  <c r="H213" l="1"/>
  <c r="K213" s="1"/>
  <c r="K214"/>
  <c r="H102"/>
  <c r="K70"/>
  <c r="T224" i="85"/>
  <c r="T229"/>
  <c r="V224"/>
  <c r="V89"/>
  <c r="V229" s="1"/>
  <c r="V228"/>
  <c r="X230"/>
  <c r="V15"/>
  <c r="V87"/>
  <c r="T20"/>
  <c r="T157"/>
  <c r="V156"/>
  <c r="V157" s="1"/>
  <c r="V160" s="1"/>
  <c r="T87"/>
  <c r="T90" s="1"/>
  <c r="T160" l="1"/>
  <c r="T230" s="1"/>
  <c r="T227"/>
  <c r="V226"/>
  <c r="V90"/>
  <c r="V230" s="1"/>
  <c r="V227"/>
  <c r="V17"/>
  <c r="V20" s="1"/>
  <c r="I241" i="61" l="1"/>
  <c r="D28" i="70" l="1"/>
  <c r="J36" i="85" l="1"/>
  <c r="G60" i="61"/>
  <c r="M60" s="1"/>
  <c r="G84"/>
  <c r="G31" i="68" s="1"/>
  <c r="H21" i="61"/>
  <c r="H34"/>
  <c r="I45"/>
  <c r="H163"/>
  <c r="H38"/>
  <c r="H43"/>
  <c r="H157"/>
  <c r="I137"/>
  <c r="G35"/>
  <c r="M35" s="1"/>
  <c r="H39"/>
  <c r="G68"/>
  <c r="I13"/>
  <c r="H124"/>
  <c r="G16"/>
  <c r="M16" s="1"/>
  <c r="H169"/>
  <c r="H19"/>
  <c r="I49"/>
  <c r="G23"/>
  <c r="H53"/>
  <c r="H36"/>
  <c r="I128"/>
  <c r="G161"/>
  <c r="M161" s="1"/>
  <c r="I38"/>
  <c r="I20"/>
  <c r="H55"/>
  <c r="H153"/>
  <c r="I174"/>
  <c r="H126"/>
  <c r="I136"/>
  <c r="G27"/>
  <c r="M27" s="1"/>
  <c r="H67"/>
  <c r="G48"/>
  <c r="M48" s="1"/>
  <c r="I36"/>
  <c r="I126"/>
  <c r="G183"/>
  <c r="O24" i="68" s="1"/>
  <c r="G43" i="61"/>
  <c r="M43" s="1"/>
  <c r="I63"/>
  <c r="I54"/>
  <c r="I77"/>
  <c r="I24" i="68" s="1"/>
  <c r="H175" i="61"/>
  <c r="I155"/>
  <c r="H127"/>
  <c r="H65"/>
  <c r="I175"/>
  <c r="H47"/>
  <c r="H172"/>
  <c r="H182"/>
  <c r="P23" i="68" s="1"/>
  <c r="I148" i="61"/>
  <c r="I146" s="1"/>
  <c r="G14"/>
  <c r="M14" s="1"/>
  <c r="G173"/>
  <c r="H183"/>
  <c r="P24" i="68" s="1"/>
  <c r="I39" i="61"/>
  <c r="G42"/>
  <c r="M42" s="1"/>
  <c r="I80"/>
  <c r="I27" i="68" s="1"/>
  <c r="G81" i="61"/>
  <c r="G28" i="68" s="1"/>
  <c r="I172" i="61"/>
  <c r="I17"/>
  <c r="I125"/>
  <c r="G143"/>
  <c r="M143" s="1"/>
  <c r="I53"/>
  <c r="I130"/>
  <c r="G138"/>
  <c r="M138" s="1"/>
  <c r="H187"/>
  <c r="P28" i="68" s="1"/>
  <c r="I168" i="61"/>
  <c r="G140"/>
  <c r="M140" s="1"/>
  <c r="G130"/>
  <c r="I154"/>
  <c r="G129"/>
  <c r="M129" s="1"/>
  <c r="G56"/>
  <c r="M56" s="1"/>
  <c r="I166"/>
  <c r="I124"/>
  <c r="I60"/>
  <c r="H241"/>
  <c r="F28" i="70"/>
  <c r="H46" i="61"/>
  <c r="H42"/>
  <c r="G30" i="70"/>
  <c r="K30" s="1"/>
  <c r="G14" i="72" l="1"/>
  <c r="G15" s="1"/>
  <c r="G37" s="1"/>
  <c r="D40" i="90" s="1"/>
  <c r="S38" i="85"/>
  <c r="S36"/>
  <c r="V176"/>
  <c r="V106"/>
  <c r="I119" i="61"/>
  <c r="I56"/>
  <c r="G155"/>
  <c r="I55"/>
  <c r="G61"/>
  <c r="M61" s="1"/>
  <c r="H142"/>
  <c r="I65"/>
  <c r="I35"/>
  <c r="I66"/>
  <c r="H171"/>
  <c r="I78"/>
  <c r="I25" i="68" s="1"/>
  <c r="G20" i="61"/>
  <c r="M20" s="1"/>
  <c r="G124"/>
  <c r="H162"/>
  <c r="D10" i="90"/>
  <c r="D15" s="1"/>
  <c r="D16" s="1"/>
  <c r="D38" s="1"/>
  <c r="I59" i="61"/>
  <c r="I144"/>
  <c r="I47"/>
  <c r="I134"/>
  <c r="I153"/>
  <c r="I28"/>
  <c r="H14"/>
  <c r="G34"/>
  <c r="M34" s="1"/>
  <c r="G144"/>
  <c r="M144" s="1"/>
  <c r="G175"/>
  <c r="M175" s="1"/>
  <c r="I22"/>
  <c r="H33"/>
  <c r="G125"/>
  <c r="I131"/>
  <c r="I161"/>
  <c r="I122"/>
  <c r="I142"/>
  <c r="I163"/>
  <c r="G53"/>
  <c r="M53" s="1"/>
  <c r="I152"/>
  <c r="G47"/>
  <c r="I183"/>
  <c r="Q24" i="68" s="1"/>
  <c r="G29" i="61"/>
  <c r="M29" s="1"/>
  <c r="I114"/>
  <c r="Q11" i="68" s="1"/>
  <c r="C11" i="90"/>
  <c r="I19" i="61"/>
  <c r="G152"/>
  <c r="I129"/>
  <c r="I188"/>
  <c r="Q29" i="68" s="1"/>
  <c r="G158" i="61"/>
  <c r="I156"/>
  <c r="H9" i="72"/>
  <c r="E10" i="90" s="1"/>
  <c r="E15" s="1"/>
  <c r="E16" s="1"/>
  <c r="E38" s="1"/>
  <c r="G146" i="65"/>
  <c r="C10" i="90"/>
  <c r="C12"/>
  <c r="G162" i="61"/>
  <c r="M162" s="1"/>
  <c r="G63"/>
  <c r="I164"/>
  <c r="H239"/>
  <c r="H242" s="1"/>
  <c r="I33"/>
  <c r="H146" i="65"/>
  <c r="G185" i="61"/>
  <c r="O26" i="68" s="1"/>
  <c r="I15" i="61"/>
  <c r="I121"/>
  <c r="I127"/>
  <c r="I81"/>
  <c r="I28" i="68" s="1"/>
  <c r="H143" i="61"/>
  <c r="I41"/>
  <c r="I62"/>
  <c r="G168"/>
  <c r="I182"/>
  <c r="Q23" i="68" s="1"/>
  <c r="G52" i="61"/>
  <c r="G15"/>
  <c r="M15" s="1"/>
  <c r="I167"/>
  <c r="G54"/>
  <c r="M54" s="1"/>
  <c r="I69"/>
  <c r="G153"/>
  <c r="M153" s="1"/>
  <c r="I34"/>
  <c r="G127"/>
  <c r="M127" s="1"/>
  <c r="H129"/>
  <c r="I146" i="65"/>
  <c r="H29" i="61"/>
  <c r="G171"/>
  <c r="H131"/>
  <c r="H168"/>
  <c r="H141"/>
  <c r="H128"/>
  <c r="H186"/>
  <c r="P27" i="68" s="1"/>
  <c r="I187" i="61"/>
  <c r="Q28" i="68" s="1"/>
  <c r="I158" i="61"/>
  <c r="H137"/>
  <c r="G241"/>
  <c r="M241" s="1"/>
  <c r="I133"/>
  <c r="G114"/>
  <c r="H161"/>
  <c r="I85"/>
  <c r="I32" i="68" s="1"/>
  <c r="I145" i="61"/>
  <c r="H166"/>
  <c r="G188"/>
  <c r="O29" i="68" s="1"/>
  <c r="H167" i="61"/>
  <c r="H190"/>
  <c r="P31" i="68" s="1"/>
  <c r="I186" i="61"/>
  <c r="Q27" i="68" s="1"/>
  <c r="G142" i="61"/>
  <c r="M142" s="1"/>
  <c r="I191"/>
  <c r="Q32" i="68" s="1"/>
  <c r="I171" i="61"/>
  <c r="I190"/>
  <c r="Q31" i="68" s="1"/>
  <c r="G46" i="61"/>
  <c r="G163"/>
  <c r="M163" s="1"/>
  <c r="G164"/>
  <c r="M164" s="1"/>
  <c r="I138"/>
  <c r="H164"/>
  <c r="G29" i="70"/>
  <c r="I157" i="61"/>
  <c r="I135"/>
  <c r="H158"/>
  <c r="G121"/>
  <c r="H155"/>
  <c r="H136"/>
  <c r="I141"/>
  <c r="I162"/>
  <c r="I140"/>
  <c r="H145"/>
  <c r="H191"/>
  <c r="P32" i="68" s="1"/>
  <c r="G167" i="61"/>
  <c r="G131"/>
  <c r="M131" s="1"/>
  <c r="G156"/>
  <c r="M156" s="1"/>
  <c r="H134"/>
  <c r="H135"/>
  <c r="H156"/>
  <c r="I173"/>
  <c r="H133"/>
  <c r="H114"/>
  <c r="P11" i="68" s="1"/>
  <c r="I169" i="61"/>
  <c r="H154"/>
  <c r="H174"/>
  <c r="H16"/>
  <c r="G172"/>
  <c r="I29"/>
  <c r="G19"/>
  <c r="M19" s="1"/>
  <c r="H80"/>
  <c r="G49"/>
  <c r="M49" s="1"/>
  <c r="G67"/>
  <c r="H23"/>
  <c r="D41" i="90" l="1"/>
  <c r="V246" i="85"/>
  <c r="M158" i="61"/>
  <c r="M155"/>
  <c r="O11" i="68"/>
  <c r="M114" i="61"/>
  <c r="G28" i="70"/>
  <c r="K28" s="1"/>
  <c r="K29"/>
  <c r="S39" i="85"/>
  <c r="T36"/>
  <c r="V36" s="1"/>
  <c r="S34"/>
  <c r="S46"/>
  <c r="J34"/>
  <c r="J38"/>
  <c r="J39" s="1"/>
  <c r="V104"/>
  <c r="J40"/>
  <c r="J41" s="1"/>
  <c r="C40" i="90"/>
  <c r="I113" i="61"/>
  <c r="C15" i="90"/>
  <c r="C16" s="1"/>
  <c r="C38" s="1"/>
  <c r="I123" i="61"/>
  <c r="Q15" i="68" s="1"/>
  <c r="G226" i="61"/>
  <c r="I180"/>
  <c r="Q21" i="68" s="1"/>
  <c r="H242" i="65"/>
  <c r="H14" i="72"/>
  <c r="H15" s="1"/>
  <c r="H37" s="1"/>
  <c r="E40" i="90" s="1"/>
  <c r="E41" s="1"/>
  <c r="I9" i="72"/>
  <c r="I123" i="65"/>
  <c r="I159" i="61"/>
  <c r="Q11" i="69" s="1"/>
  <c r="G148" i="61"/>
  <c r="G119"/>
  <c r="H148"/>
  <c r="G226" i="65"/>
  <c r="I118" i="61"/>
  <c r="H113"/>
  <c r="I150"/>
  <c r="Q9" i="69" s="1"/>
  <c r="H159" i="61"/>
  <c r="P11" i="69" s="1"/>
  <c r="I74" i="61"/>
  <c r="I21" i="68" s="1"/>
  <c r="G51" i="65"/>
  <c r="H189" i="61"/>
  <c r="P30" i="68" s="1"/>
  <c r="F33" i="70"/>
  <c r="F71" s="1"/>
  <c r="F86" s="1"/>
  <c r="G113" i="61"/>
  <c r="H122"/>
  <c r="G181"/>
  <c r="O22" i="68" s="1"/>
  <c r="G159" i="65"/>
  <c r="I150"/>
  <c r="G165"/>
  <c r="G112" i="61"/>
  <c r="I159" i="65"/>
  <c r="G120" i="61"/>
  <c r="G150" i="65"/>
  <c r="I165" i="61"/>
  <c r="Q13" i="69" s="1"/>
  <c r="H118" i="61"/>
  <c r="I181"/>
  <c r="Q22" i="68" s="1"/>
  <c r="H181" i="61"/>
  <c r="P22" i="68" s="1"/>
  <c r="H120" i="61"/>
  <c r="I189"/>
  <c r="Q30" i="68" s="1"/>
  <c r="G159" i="61"/>
  <c r="I84"/>
  <c r="I31" i="68" s="1"/>
  <c r="H78" i="61"/>
  <c r="H25" i="68" s="1"/>
  <c r="H173" i="61"/>
  <c r="H61"/>
  <c r="G186"/>
  <c r="H37"/>
  <c r="G135"/>
  <c r="M135" s="1"/>
  <c r="G166"/>
  <c r="I64" i="65"/>
  <c r="H62" i="61"/>
  <c r="H159" i="65"/>
  <c r="H140" i="61"/>
  <c r="G190"/>
  <c r="G141"/>
  <c r="M141" s="1"/>
  <c r="I31"/>
  <c r="G169"/>
  <c r="G174"/>
  <c r="G126"/>
  <c r="M126" s="1"/>
  <c r="G137"/>
  <c r="M137" s="1"/>
  <c r="G154"/>
  <c r="M154" s="1"/>
  <c r="I37"/>
  <c r="G123" i="65"/>
  <c r="I132"/>
  <c r="I165"/>
  <c r="H165"/>
  <c r="I21" i="61"/>
  <c r="H69"/>
  <c r="M69" s="1"/>
  <c r="I18"/>
  <c r="D33" i="70"/>
  <c r="G134" i="61"/>
  <c r="M134" s="1"/>
  <c r="H31"/>
  <c r="H138"/>
  <c r="G187"/>
  <c r="G136"/>
  <c r="M136" s="1"/>
  <c r="G128"/>
  <c r="M128" s="1"/>
  <c r="G145"/>
  <c r="M145" s="1"/>
  <c r="H17"/>
  <c r="H130"/>
  <c r="M130" s="1"/>
  <c r="H22"/>
  <c r="H66"/>
  <c r="I27"/>
  <c r="G191"/>
  <c r="I143"/>
  <c r="G182"/>
  <c r="H28"/>
  <c r="H18"/>
  <c r="G157"/>
  <c r="M157" s="1"/>
  <c r="H77"/>
  <c r="H24" i="68" s="1"/>
  <c r="H85" i="61"/>
  <c r="H32" i="68" s="1"/>
  <c r="H144" i="61"/>
  <c r="H132" i="65"/>
  <c r="G44"/>
  <c r="G45" i="61"/>
  <c r="I68"/>
  <c r="G13"/>
  <c r="M13" s="1"/>
  <c r="H45"/>
  <c r="I48"/>
  <c r="H27" i="68"/>
  <c r="G41" i="61"/>
  <c r="M41" s="1"/>
  <c r="H13"/>
  <c r="I14"/>
  <c r="G146" l="1"/>
  <c r="M146" s="1"/>
  <c r="M148"/>
  <c r="M113"/>
  <c r="I14" i="72"/>
  <c r="I15" s="1"/>
  <c r="I37" s="1"/>
  <c r="F40" i="90" s="1"/>
  <c r="K242" i="65"/>
  <c r="O11" i="69"/>
  <c r="M159" i="61"/>
  <c r="T34" i="85"/>
  <c r="V34" s="1"/>
  <c r="T38"/>
  <c r="S44"/>
  <c r="S28"/>
  <c r="S45"/>
  <c r="V174"/>
  <c r="V244" s="1"/>
  <c r="S27"/>
  <c r="S23"/>
  <c r="J24"/>
  <c r="J45"/>
  <c r="V116"/>
  <c r="J46"/>
  <c r="J44"/>
  <c r="V186"/>
  <c r="J9" i="72"/>
  <c r="K9" s="1"/>
  <c r="L9" s="1"/>
  <c r="H121" i="61"/>
  <c r="M121" s="1"/>
  <c r="C41" i="90"/>
  <c r="H146" i="61"/>
  <c r="H132" s="1"/>
  <c r="G55"/>
  <c r="I112"/>
  <c r="I110" s="1"/>
  <c r="Q9" i="68" s="1"/>
  <c r="F10" i="90"/>
  <c r="F15" s="1"/>
  <c r="F16" s="1"/>
  <c r="F38" s="1"/>
  <c r="I227" i="61"/>
  <c r="I225" s="1"/>
  <c r="I227" i="65"/>
  <c r="I225" s="1"/>
  <c r="Q8" i="69"/>
  <c r="Q33" s="1"/>
  <c r="G110" i="61"/>
  <c r="H188"/>
  <c r="P29" i="68" s="1"/>
  <c r="I149" i="61"/>
  <c r="I149" i="65"/>
  <c r="G149"/>
  <c r="G116"/>
  <c r="I83" i="61"/>
  <c r="I30" i="68" s="1"/>
  <c r="D71" i="70"/>
  <c r="D86" s="1"/>
  <c r="H12" i="65"/>
  <c r="H11" s="1"/>
  <c r="G165" i="61"/>
  <c r="G118"/>
  <c r="M118" s="1"/>
  <c r="G122"/>
  <c r="M122" s="1"/>
  <c r="O23" i="68"/>
  <c r="O28"/>
  <c r="I82" i="61"/>
  <c r="I29" i="68" s="1"/>
  <c r="I239" i="61"/>
  <c r="I242" s="1"/>
  <c r="I242" i="65"/>
  <c r="H83" i="61"/>
  <c r="H30" i="68" s="1"/>
  <c r="G123" i="61"/>
  <c r="O15" i="68" s="1"/>
  <c r="H81" i="61"/>
  <c r="O31" i="68"/>
  <c r="I42" i="61"/>
  <c r="G36"/>
  <c r="M36" s="1"/>
  <c r="I30"/>
  <c r="G31"/>
  <c r="M31" s="1"/>
  <c r="G38"/>
  <c r="M38" s="1"/>
  <c r="H75"/>
  <c r="H22" i="68" s="1"/>
  <c r="H56" i="61"/>
  <c r="I132"/>
  <c r="Q16" i="68" s="1"/>
  <c r="G66" i="61"/>
  <c r="I185"/>
  <c r="I226" i="65"/>
  <c r="G40" i="61"/>
  <c r="M40" s="1"/>
  <c r="G85"/>
  <c r="I23"/>
  <c r="M23" s="1"/>
  <c r="G77"/>
  <c r="M77" s="1"/>
  <c r="G80"/>
  <c r="H30"/>
  <c r="O27" i="68"/>
  <c r="H27" i="61"/>
  <c r="I179" i="65"/>
  <c r="I178" s="1"/>
  <c r="I177" s="1"/>
  <c r="I207" s="1"/>
  <c r="I43" i="61"/>
  <c r="G37"/>
  <c r="M37" s="1"/>
  <c r="H63"/>
  <c r="G39"/>
  <c r="M39" s="1"/>
  <c r="G69"/>
  <c r="O32" i="68"/>
  <c r="G78" i="61"/>
  <c r="G239"/>
  <c r="M239" s="1"/>
  <c r="G242" i="65"/>
  <c r="H54" i="61"/>
  <c r="G150"/>
  <c r="H15"/>
  <c r="H185"/>
  <c r="H226" i="65"/>
  <c r="H165" i="61"/>
  <c r="P13" i="69" s="1"/>
  <c r="G28" i="61"/>
  <c r="M28" s="1"/>
  <c r="H49"/>
  <c r="H60"/>
  <c r="G33"/>
  <c r="M33" s="1"/>
  <c r="G22"/>
  <c r="M22" s="1"/>
  <c r="H84"/>
  <c r="G189"/>
  <c r="G75"/>
  <c r="H35"/>
  <c r="H20"/>
  <c r="G21"/>
  <c r="M21" s="1"/>
  <c r="G18"/>
  <c r="M18" s="1"/>
  <c r="G62"/>
  <c r="H82"/>
  <c r="H29" i="68" s="1"/>
  <c r="I67" i="61"/>
  <c r="G110" i="65"/>
  <c r="I76" i="61"/>
  <c r="I223" i="65"/>
  <c r="G44" i="61"/>
  <c r="O13" i="69" l="1"/>
  <c r="M165" i="61"/>
  <c r="G51"/>
  <c r="G9" i="69" s="1"/>
  <c r="M55" i="61"/>
  <c r="F41" i="90"/>
  <c r="V256" i="85"/>
  <c r="G15" i="68"/>
  <c r="M44" i="61"/>
  <c r="P16" i="68"/>
  <c r="O9" i="69"/>
  <c r="O9" i="68"/>
  <c r="T45" i="85"/>
  <c r="V45" s="1"/>
  <c r="J47"/>
  <c r="J52" s="1"/>
  <c r="T44"/>
  <c r="V44" s="1"/>
  <c r="T46"/>
  <c r="V46" s="1"/>
  <c r="X262"/>
  <c r="S47"/>
  <c r="S52" s="1"/>
  <c r="Y262"/>
  <c r="S24"/>
  <c r="T109"/>
  <c r="V108"/>
  <c r="T179"/>
  <c r="V178"/>
  <c r="V179" s="1"/>
  <c r="T39"/>
  <c r="V38"/>
  <c r="V39" s="1"/>
  <c r="V185"/>
  <c r="V115"/>
  <c r="V114"/>
  <c r="V184"/>
  <c r="V94"/>
  <c r="V164"/>
  <c r="J35"/>
  <c r="J37" s="1"/>
  <c r="J42" s="1"/>
  <c r="V97"/>
  <c r="J27"/>
  <c r="V167"/>
  <c r="V168"/>
  <c r="J28"/>
  <c r="V98"/>
  <c r="V93"/>
  <c r="J23"/>
  <c r="T23" s="1"/>
  <c r="V163"/>
  <c r="K14" i="72"/>
  <c r="K15" s="1"/>
  <c r="K37" s="1"/>
  <c r="J14"/>
  <c r="J15" s="1"/>
  <c r="J37" s="1"/>
  <c r="I110" i="65"/>
  <c r="G32"/>
  <c r="G32" i="61"/>
  <c r="G149"/>
  <c r="G116"/>
  <c r="G58" i="65"/>
  <c r="G59" i="61"/>
  <c r="H125"/>
  <c r="H123" i="65"/>
  <c r="H152" i="61"/>
  <c r="M152" s="1"/>
  <c r="H150" i="65"/>
  <c r="I46" i="61"/>
  <c r="I44" i="65"/>
  <c r="G133" i="61"/>
  <c r="G132" i="65"/>
  <c r="G65" i="61"/>
  <c r="G64" i="65"/>
  <c r="I75" i="61"/>
  <c r="I64"/>
  <c r="I13" i="69" s="1"/>
  <c r="H12" i="61"/>
  <c r="H11" s="1"/>
  <c r="H31" i="68"/>
  <c r="H51" i="65"/>
  <c r="H52" i="61"/>
  <c r="M52" s="1"/>
  <c r="G17"/>
  <c r="M17" s="1"/>
  <c r="G12" i="65"/>
  <c r="G11" s="1"/>
  <c r="I58"/>
  <c r="I61" i="61"/>
  <c r="O30" i="68"/>
  <c r="G33" i="70"/>
  <c r="K33" s="1"/>
  <c r="H64" i="65"/>
  <c r="H68" i="61"/>
  <c r="M68" s="1"/>
  <c r="P26" i="68"/>
  <c r="H226" i="61"/>
  <c r="I16"/>
  <c r="I12" i="65"/>
  <c r="I11" s="1"/>
  <c r="K11" s="1"/>
  <c r="H116"/>
  <c r="H119" i="61"/>
  <c r="M119" s="1"/>
  <c r="H28" i="68"/>
  <c r="H74" i="61"/>
  <c r="H224" s="1"/>
  <c r="H59"/>
  <c r="H58" s="1"/>
  <c r="H11" i="69" s="1"/>
  <c r="H58" i="65"/>
  <c r="G25" i="68"/>
  <c r="G27"/>
  <c r="I226" i="61"/>
  <c r="Q26" i="68"/>
  <c r="Q20" s="1"/>
  <c r="Q19" s="1"/>
  <c r="Q18" s="1"/>
  <c r="I179" i="61"/>
  <c r="I178" s="1"/>
  <c r="I177" s="1"/>
  <c r="I207" s="1"/>
  <c r="I52"/>
  <c r="I51" s="1"/>
  <c r="I51" i="65"/>
  <c r="H48" i="61"/>
  <c r="H44" i="65"/>
  <c r="G83" i="61"/>
  <c r="G242"/>
  <c r="M242" s="1"/>
  <c r="G30"/>
  <c r="M30" s="1"/>
  <c r="G24" i="68"/>
  <c r="G32"/>
  <c r="H41" i="61"/>
  <c r="G82"/>
  <c r="X252" i="85"/>
  <c r="G22" i="68"/>
  <c r="I223" i="61"/>
  <c r="I23" i="68"/>
  <c r="L14" i="72"/>
  <c r="L15" s="1"/>
  <c r="L37" s="1"/>
  <c r="M9"/>
  <c r="O8" i="69" l="1"/>
  <c r="O33" s="1"/>
  <c r="H149" i="65"/>
  <c r="K149" s="1"/>
  <c r="K150"/>
  <c r="K110"/>
  <c r="T249" i="85"/>
  <c r="V234"/>
  <c r="V238"/>
  <c r="V254"/>
  <c r="V233"/>
  <c r="V237"/>
  <c r="V255"/>
  <c r="V109"/>
  <c r="V249" s="1"/>
  <c r="V248"/>
  <c r="G109" i="65"/>
  <c r="K132"/>
  <c r="G13" i="68"/>
  <c r="H9"/>
  <c r="O13"/>
  <c r="T27" i="85"/>
  <c r="V27" s="1"/>
  <c r="T24"/>
  <c r="V24" s="1"/>
  <c r="T28"/>
  <c r="V28" s="1"/>
  <c r="V23"/>
  <c r="V47"/>
  <c r="V52" s="1"/>
  <c r="S40"/>
  <c r="T40" s="1"/>
  <c r="S30"/>
  <c r="T47"/>
  <c r="T52" s="1"/>
  <c r="V187"/>
  <c r="V192" s="1"/>
  <c r="V117"/>
  <c r="T187"/>
  <c r="S35"/>
  <c r="T35" s="1"/>
  <c r="T117"/>
  <c r="T122" s="1"/>
  <c r="J30"/>
  <c r="J31" s="1"/>
  <c r="J26"/>
  <c r="J29" s="1"/>
  <c r="E226" i="61"/>
  <c r="H110" i="65"/>
  <c r="H112" i="61"/>
  <c r="M112" s="1"/>
  <c r="I73"/>
  <c r="I72" s="1"/>
  <c r="I71" s="1"/>
  <c r="I101" s="1"/>
  <c r="I120"/>
  <c r="M120" s="1"/>
  <c r="I116" i="65"/>
  <c r="G29" i="68"/>
  <c r="G74" i="61"/>
  <c r="M74" s="1"/>
  <c r="G12"/>
  <c r="H51"/>
  <c r="M51" s="1"/>
  <c r="G180"/>
  <c r="M180" s="1"/>
  <c r="G227" i="65"/>
  <c r="G225" s="1"/>
  <c r="G179"/>
  <c r="G178" s="1"/>
  <c r="G177" s="1"/>
  <c r="G207" s="1"/>
  <c r="I44" i="61"/>
  <c r="I15" i="68" s="1"/>
  <c r="H26" i="61"/>
  <c r="H25" s="1"/>
  <c r="H25" i="65"/>
  <c r="G58" i="61"/>
  <c r="M58" s="1"/>
  <c r="H21" i="68"/>
  <c r="I32" i="65"/>
  <c r="I40" i="61"/>
  <c r="I32" s="1"/>
  <c r="I13" i="68" s="1"/>
  <c r="G76" i="61"/>
  <c r="M76" s="1"/>
  <c r="G223" i="65"/>
  <c r="K223" s="1"/>
  <c r="H64" i="61"/>
  <c r="G71" i="70"/>
  <c r="K71" s="1"/>
  <c r="I26" i="61"/>
  <c r="I25" s="1"/>
  <c r="I11" i="68" s="1"/>
  <c r="I25" i="65"/>
  <c r="G30" i="68"/>
  <c r="H44" i="61"/>
  <c r="H15" i="68" s="1"/>
  <c r="I9" i="69"/>
  <c r="H116" i="61"/>
  <c r="P13" i="68" s="1"/>
  <c r="H180" i="61"/>
  <c r="H179" i="65"/>
  <c r="H178" s="1"/>
  <c r="H177" s="1"/>
  <c r="H207" s="1"/>
  <c r="H227"/>
  <c r="H225" s="1"/>
  <c r="I22" i="68"/>
  <c r="I224" i="61"/>
  <c r="I222" s="1"/>
  <c r="I221" s="1"/>
  <c r="I220" s="1"/>
  <c r="H223" i="65"/>
  <c r="H76" i="61"/>
  <c r="H150"/>
  <c r="M150" s="1"/>
  <c r="H123"/>
  <c r="H50" i="65"/>
  <c r="I12" i="61"/>
  <c r="I11" s="1"/>
  <c r="H32" i="65"/>
  <c r="K32" s="1"/>
  <c r="H40" i="61"/>
  <c r="I58"/>
  <c r="I11" i="69" s="1"/>
  <c r="G25" i="65"/>
  <c r="G10" s="1"/>
  <c r="G26" i="61"/>
  <c r="M26" s="1"/>
  <c r="G64"/>
  <c r="G13" i="69" s="1"/>
  <c r="G132" i="61"/>
  <c r="M132" s="1"/>
  <c r="I50" i="65"/>
  <c r="G50"/>
  <c r="M14" i="72"/>
  <c r="M15" s="1"/>
  <c r="M37" s="1"/>
  <c r="N9"/>
  <c r="M25" i="61" l="1"/>
  <c r="G11"/>
  <c r="G9" i="68" s="1"/>
  <c r="M12" i="61"/>
  <c r="P15" i="68"/>
  <c r="M123" i="61"/>
  <c r="H13" i="69"/>
  <c r="M64" i="61"/>
  <c r="I109" i="65"/>
  <c r="I176" s="1"/>
  <c r="I208" s="1"/>
  <c r="K116"/>
  <c r="T192" i="85"/>
  <c r="T262" s="1"/>
  <c r="T257"/>
  <c r="G176" i="65"/>
  <c r="G208" s="1"/>
  <c r="G214"/>
  <c r="M116" i="61"/>
  <c r="H110"/>
  <c r="M110" s="1"/>
  <c r="V122" i="85"/>
  <c r="V262" s="1"/>
  <c r="V257"/>
  <c r="S31"/>
  <c r="T30"/>
  <c r="S41"/>
  <c r="S22"/>
  <c r="S26"/>
  <c r="T26" s="1"/>
  <c r="T41"/>
  <c r="V40"/>
  <c r="V41" s="1"/>
  <c r="S37"/>
  <c r="J22"/>
  <c r="J25" s="1"/>
  <c r="J32" s="1"/>
  <c r="J70" s="1"/>
  <c r="D226" i="61"/>
  <c r="C226"/>
  <c r="E215"/>
  <c r="H109" i="65"/>
  <c r="H176" s="1"/>
  <c r="H208" s="1"/>
  <c r="G70"/>
  <c r="I116" i="61"/>
  <c r="I10" i="65"/>
  <c r="H11" i="68"/>
  <c r="P9" i="69"/>
  <c r="H149" i="61"/>
  <c r="M149" s="1"/>
  <c r="H50"/>
  <c r="M50" s="1"/>
  <c r="H9" i="69"/>
  <c r="I20" i="68"/>
  <c r="I19" s="1"/>
  <c r="I18" s="1"/>
  <c r="H10" i="65"/>
  <c r="H94"/>
  <c r="H215"/>
  <c r="K215" s="1"/>
  <c r="G25" i="61"/>
  <c r="I9" i="68"/>
  <c r="I10" i="61"/>
  <c r="G86" i="70"/>
  <c r="K86" s="1"/>
  <c r="G11" i="69"/>
  <c r="G50" i="61"/>
  <c r="G215" s="1"/>
  <c r="O21" i="68"/>
  <c r="G179" i="61"/>
  <c r="G227"/>
  <c r="G225" s="1"/>
  <c r="I8" i="69"/>
  <c r="G215" i="65"/>
  <c r="G94"/>
  <c r="H32" i="61"/>
  <c r="H227"/>
  <c r="H225" s="1"/>
  <c r="H179"/>
  <c r="H178" s="1"/>
  <c r="H177" s="1"/>
  <c r="H207" s="1"/>
  <c r="P21" i="68"/>
  <c r="P20" s="1"/>
  <c r="P19" s="1"/>
  <c r="P18" s="1"/>
  <c r="I94" i="65"/>
  <c r="I215"/>
  <c r="O16" i="68"/>
  <c r="G109" i="61"/>
  <c r="H223"/>
  <c r="H222" s="1"/>
  <c r="H73"/>
  <c r="H72" s="1"/>
  <c r="H71" s="1"/>
  <c r="H101" s="1"/>
  <c r="H23" i="68"/>
  <c r="H20" s="1"/>
  <c r="H19" s="1"/>
  <c r="H18" s="1"/>
  <c r="G223" i="61"/>
  <c r="G23" i="68"/>
  <c r="G21"/>
  <c r="G73" i="61"/>
  <c r="G224"/>
  <c r="I50"/>
  <c r="I215" s="1"/>
  <c r="O9" i="72"/>
  <c r="N14"/>
  <c r="N15" s="1"/>
  <c r="N37" s="1"/>
  <c r="G178" i="61" l="1"/>
  <c r="M179"/>
  <c r="M11"/>
  <c r="K94" i="65"/>
  <c r="H13" i="68"/>
  <c r="H8" s="1"/>
  <c r="M32" i="61"/>
  <c r="K208" i="65"/>
  <c r="K176"/>
  <c r="K109"/>
  <c r="I70"/>
  <c r="K10"/>
  <c r="G224"/>
  <c r="G213"/>
  <c r="G72" i="61"/>
  <c r="M73"/>
  <c r="P9" i="68"/>
  <c r="P8" s="1"/>
  <c r="H109" i="61"/>
  <c r="G176"/>
  <c r="Y252" i="85"/>
  <c r="S25"/>
  <c r="T22"/>
  <c r="X242"/>
  <c r="S29"/>
  <c r="S42"/>
  <c r="T181"/>
  <c r="V180"/>
  <c r="V181" s="1"/>
  <c r="T107"/>
  <c r="V105"/>
  <c r="T111"/>
  <c r="V110"/>
  <c r="T37"/>
  <c r="T42" s="1"/>
  <c r="V35"/>
  <c r="X11" s="1"/>
  <c r="T31"/>
  <c r="V30"/>
  <c r="V31" s="1"/>
  <c r="T171"/>
  <c r="V170"/>
  <c r="V171" s="1"/>
  <c r="T177"/>
  <c r="V175"/>
  <c r="X151" s="1"/>
  <c r="T101"/>
  <c r="V100"/>
  <c r="T29"/>
  <c r="V26"/>
  <c r="V29" s="1"/>
  <c r="C227" i="61"/>
  <c r="C225" s="1"/>
  <c r="C224"/>
  <c r="D224"/>
  <c r="E223"/>
  <c r="D215"/>
  <c r="F215" s="1"/>
  <c r="D227"/>
  <c r="D225" s="1"/>
  <c r="E227"/>
  <c r="E224"/>
  <c r="M224" s="1"/>
  <c r="H221"/>
  <c r="H220" s="1"/>
  <c r="H35" i="68"/>
  <c r="H79" i="65"/>
  <c r="H184" i="64" s="1"/>
  <c r="H215" i="61"/>
  <c r="M215" s="1"/>
  <c r="G73" i="65"/>
  <c r="G184" i="64"/>
  <c r="I8" i="68"/>
  <c r="P35"/>
  <c r="I79" i="65"/>
  <c r="I214"/>
  <c r="I213" s="1"/>
  <c r="G222" i="61"/>
  <c r="G221" s="1"/>
  <c r="G220" s="1"/>
  <c r="Q13" i="68"/>
  <c r="I109" i="61"/>
  <c r="I176" s="1"/>
  <c r="I208" s="1"/>
  <c r="Q38" i="69" s="1"/>
  <c r="O8" i="68"/>
  <c r="I34" i="69"/>
  <c r="Q34"/>
  <c r="I33"/>
  <c r="G10" i="61"/>
  <c r="G11" i="68"/>
  <c r="G20"/>
  <c r="G19" s="1"/>
  <c r="G18" s="1"/>
  <c r="O20"/>
  <c r="O19" s="1"/>
  <c r="O18" s="1"/>
  <c r="H88" i="65"/>
  <c r="H231"/>
  <c r="H199" i="64"/>
  <c r="I35" i="68"/>
  <c r="Q35"/>
  <c r="P8" i="69"/>
  <c r="I88" i="65"/>
  <c r="I87" s="1"/>
  <c r="I86" s="1"/>
  <c r="I199" i="64"/>
  <c r="I231" i="65"/>
  <c r="I229" s="1"/>
  <c r="I228" s="1"/>
  <c r="G199" i="64"/>
  <c r="G231" i="65"/>
  <c r="G229" s="1"/>
  <c r="G228" s="1"/>
  <c r="G88"/>
  <c r="G87" s="1"/>
  <c r="G86" s="1"/>
  <c r="I70" i="61"/>
  <c r="I102" s="1"/>
  <c r="I38" i="69" s="1"/>
  <c r="H70" i="65"/>
  <c r="H214"/>
  <c r="H213" s="1"/>
  <c r="G8" i="69"/>
  <c r="H8"/>
  <c r="H10" i="61"/>
  <c r="O14" i="72"/>
  <c r="O15" s="1"/>
  <c r="O37" s="1"/>
  <c r="P9"/>
  <c r="G177" i="61" l="1"/>
  <c r="M178"/>
  <c r="M10"/>
  <c r="H229" i="65"/>
  <c r="K231"/>
  <c r="H87"/>
  <c r="K88"/>
  <c r="K70"/>
  <c r="K79"/>
  <c r="K214"/>
  <c r="M109" i="61"/>
  <c r="K213" i="65"/>
  <c r="S32" i="85"/>
  <c r="S70" s="1"/>
  <c r="T241"/>
  <c r="T247"/>
  <c r="T251"/>
  <c r="V245"/>
  <c r="X221" s="1"/>
  <c r="X81"/>
  <c r="V111"/>
  <c r="V251" s="1"/>
  <c r="V250"/>
  <c r="V101"/>
  <c r="V241" s="1"/>
  <c r="V240"/>
  <c r="F224" i="61"/>
  <c r="E225"/>
  <c r="M227"/>
  <c r="F227"/>
  <c r="G222" i="65"/>
  <c r="G72"/>
  <c r="G71" i="61"/>
  <c r="M72"/>
  <c r="K199" i="64"/>
  <c r="H176" i="61"/>
  <c r="H208" s="1"/>
  <c r="P38" i="69" s="1"/>
  <c r="G227" i="64"/>
  <c r="G225" s="1"/>
  <c r="G221" s="1"/>
  <c r="M223" i="61"/>
  <c r="E222"/>
  <c r="Y242" i="85"/>
  <c r="V107"/>
  <c r="V37"/>
  <c r="V42" s="1"/>
  <c r="V177"/>
  <c r="V182" s="1"/>
  <c r="T182"/>
  <c r="T25"/>
  <c r="T32" s="1"/>
  <c r="T70" s="1"/>
  <c r="V22"/>
  <c r="V25" s="1"/>
  <c r="V32" s="1"/>
  <c r="T169"/>
  <c r="V166"/>
  <c r="V169" s="1"/>
  <c r="T165"/>
  <c r="V162"/>
  <c r="V165" s="1"/>
  <c r="T95"/>
  <c r="V92"/>
  <c r="T112"/>
  <c r="T99"/>
  <c r="V96"/>
  <c r="D19" i="68"/>
  <c r="D18" s="1"/>
  <c r="L35" s="1"/>
  <c r="C19"/>
  <c r="C18" s="1"/>
  <c r="K35" s="1"/>
  <c r="I33"/>
  <c r="I37" i="69" s="1"/>
  <c r="I39" s="1"/>
  <c r="E19" i="68"/>
  <c r="D223" i="61"/>
  <c r="D222" s="1"/>
  <c r="D221" s="1"/>
  <c r="D220" s="1"/>
  <c r="C215"/>
  <c r="D214"/>
  <c r="H224" i="65"/>
  <c r="H222" s="1"/>
  <c r="H221" s="1"/>
  <c r="H73"/>
  <c r="H72" s="1"/>
  <c r="H71" s="1"/>
  <c r="G179" i="64"/>
  <c r="G178" s="1"/>
  <c r="G177" s="1"/>
  <c r="G35" i="68"/>
  <c r="I184" i="64"/>
  <c r="K184" s="1"/>
  <c r="I73" i="65"/>
  <c r="I72" s="1"/>
  <c r="I71" s="1"/>
  <c r="I101" s="1"/>
  <c r="I102" s="1"/>
  <c r="I224"/>
  <c r="I222" s="1"/>
  <c r="I221" s="1"/>
  <c r="I220" s="1"/>
  <c r="Q8" i="68"/>
  <c r="I214" i="61"/>
  <c r="I213" s="1"/>
  <c r="P34" i="68"/>
  <c r="H33"/>
  <c r="X22" i="75"/>
  <c r="G214" i="61"/>
  <c r="G213" s="1"/>
  <c r="G70"/>
  <c r="O33" i="68"/>
  <c r="O37" i="69" s="1"/>
  <c r="G34"/>
  <c r="O34"/>
  <c r="G33"/>
  <c r="G194" i="64"/>
  <c r="G193" s="1"/>
  <c r="G192" s="1"/>
  <c r="G234"/>
  <c r="G232" s="1"/>
  <c r="G228" s="1"/>
  <c r="H34" i="69"/>
  <c r="P33"/>
  <c r="G8" i="68"/>
  <c r="H33" i="69"/>
  <c r="P34"/>
  <c r="H234" i="64"/>
  <c r="H232" s="1"/>
  <c r="H228" s="1"/>
  <c r="H194"/>
  <c r="H193" s="1"/>
  <c r="H192" s="1"/>
  <c r="H34" i="68"/>
  <c r="P33"/>
  <c r="H179" i="64"/>
  <c r="H178" s="1"/>
  <c r="H177" s="1"/>
  <c r="H227"/>
  <c r="H225" s="1"/>
  <c r="H221" s="1"/>
  <c r="O35" i="68"/>
  <c r="H70" i="61"/>
  <c r="H214"/>
  <c r="H213" s="1"/>
  <c r="I234" i="64"/>
  <c r="I232" s="1"/>
  <c r="I228" s="1"/>
  <c r="I194"/>
  <c r="I193" s="1"/>
  <c r="I192" s="1"/>
  <c r="Q9" i="72"/>
  <c r="P14"/>
  <c r="P15" s="1"/>
  <c r="P37" s="1"/>
  <c r="G207" i="61" l="1"/>
  <c r="M177"/>
  <c r="H86" i="65"/>
  <c r="K86" s="1"/>
  <c r="K87"/>
  <c r="H220"/>
  <c r="H228"/>
  <c r="K228" s="1"/>
  <c r="K229"/>
  <c r="K73"/>
  <c r="K224"/>
  <c r="T239" i="85"/>
  <c r="T235"/>
  <c r="T252"/>
  <c r="V112"/>
  <c r="V252" s="1"/>
  <c r="V247"/>
  <c r="V99"/>
  <c r="V239" s="1"/>
  <c r="V236"/>
  <c r="M225" i="61"/>
  <c r="F225"/>
  <c r="G221" i="65"/>
  <c r="K222"/>
  <c r="G71"/>
  <c r="K72"/>
  <c r="G101" i="61"/>
  <c r="M101" s="1"/>
  <c r="M71"/>
  <c r="F223"/>
  <c r="M176"/>
  <c r="H102"/>
  <c r="M70"/>
  <c r="G220" i="64"/>
  <c r="E221" i="61"/>
  <c r="F222"/>
  <c r="M222"/>
  <c r="E18" i="68"/>
  <c r="F19"/>
  <c r="D213" i="61"/>
  <c r="V95" i="85"/>
  <c r="V235" s="1"/>
  <c r="V232"/>
  <c r="V70"/>
  <c r="T172"/>
  <c r="T102"/>
  <c r="T140" s="1"/>
  <c r="V172"/>
  <c r="V210" s="1"/>
  <c r="C35" i="68"/>
  <c r="D35"/>
  <c r="C214" i="61"/>
  <c r="C213" s="1"/>
  <c r="C223"/>
  <c r="C222" s="1"/>
  <c r="C221" s="1"/>
  <c r="C220" s="1"/>
  <c r="E214"/>
  <c r="F214" s="1"/>
  <c r="E227" i="64"/>
  <c r="E179"/>
  <c r="E194"/>
  <c r="E234"/>
  <c r="G207"/>
  <c r="G208" s="1"/>
  <c r="H220"/>
  <c r="Q33" i="68"/>
  <c r="Q37" i="69" s="1"/>
  <c r="Q39" s="1"/>
  <c r="I34" i="68"/>
  <c r="Q34"/>
  <c r="I179" i="64"/>
  <c r="I178" s="1"/>
  <c r="I177" s="1"/>
  <c r="I207" s="1"/>
  <c r="I208" s="1"/>
  <c r="I227"/>
  <c r="I225" s="1"/>
  <c r="I221" s="1"/>
  <c r="I220" s="1"/>
  <c r="P37" i="69"/>
  <c r="P39" s="1"/>
  <c r="G34" i="68"/>
  <c r="O34"/>
  <c r="G33"/>
  <c r="G37" i="69" s="1"/>
  <c r="H37"/>
  <c r="H207" i="64"/>
  <c r="H208" s="1"/>
  <c r="R9" i="72"/>
  <c r="Q14"/>
  <c r="Q15" s="1"/>
  <c r="Q37" s="1"/>
  <c r="M207" i="61" l="1"/>
  <c r="G208"/>
  <c r="H101" i="65"/>
  <c r="H102" s="1"/>
  <c r="T210" i="85"/>
  <c r="T280" s="1"/>
  <c r="T242"/>
  <c r="K221" i="65"/>
  <c r="G220"/>
  <c r="K220" s="1"/>
  <c r="K71"/>
  <c r="G101"/>
  <c r="G102" i="61"/>
  <c r="G38" i="69" s="1"/>
  <c r="G39" s="1"/>
  <c r="H38"/>
  <c r="H39" s="1"/>
  <c r="M35" i="68"/>
  <c r="N35" s="1"/>
  <c r="F18"/>
  <c r="E220" i="61"/>
  <c r="M221"/>
  <c r="F221"/>
  <c r="E35" i="68"/>
  <c r="F35" s="1"/>
  <c r="E232" i="64"/>
  <c r="K232" s="1"/>
  <c r="K234"/>
  <c r="E193"/>
  <c r="K194"/>
  <c r="E213" i="61"/>
  <c r="M213" s="1"/>
  <c r="M214"/>
  <c r="E225" i="64"/>
  <c r="K225" s="1"/>
  <c r="K227"/>
  <c r="E178"/>
  <c r="K179"/>
  <c r="V102" i="85"/>
  <c r="M8" i="68"/>
  <c r="E8"/>
  <c r="S9" i="72"/>
  <c r="R14"/>
  <c r="R15" s="1"/>
  <c r="R37" s="1"/>
  <c r="M208" i="61" l="1"/>
  <c r="O38" i="69"/>
  <c r="O39" s="1"/>
  <c r="G102" i="65"/>
  <c r="K102" s="1"/>
  <c r="K101"/>
  <c r="M102" i="61"/>
  <c r="M220"/>
  <c r="F220"/>
  <c r="E192" i="64"/>
  <c r="K192" s="1"/>
  <c r="K193"/>
  <c r="F213" i="61"/>
  <c r="E177" i="64"/>
  <c r="K178"/>
  <c r="V140" i="85"/>
  <c r="V280" s="1"/>
  <c r="V242"/>
  <c r="S71"/>
  <c r="T71" s="1"/>
  <c r="J71"/>
  <c r="J72" s="1"/>
  <c r="M34" i="68"/>
  <c r="M33"/>
  <c r="M37" i="69" s="1"/>
  <c r="M39" s="1"/>
  <c r="E34" i="68"/>
  <c r="L8"/>
  <c r="N8" s="1"/>
  <c r="K8"/>
  <c r="E33"/>
  <c r="D8"/>
  <c r="F8" s="1"/>
  <c r="C8"/>
  <c r="S14" i="72"/>
  <c r="S15" s="1"/>
  <c r="S37" s="1"/>
  <c r="T9"/>
  <c r="E37" i="69" l="1"/>
  <c r="E39" s="1"/>
  <c r="K177" i="64"/>
  <c r="E207"/>
  <c r="S285" i="85"/>
  <c r="S72"/>
  <c r="T72"/>
  <c r="V71"/>
  <c r="V72" s="1"/>
  <c r="K34" i="68"/>
  <c r="K33"/>
  <c r="K37" i="69" s="1"/>
  <c r="K39" s="1"/>
  <c r="L34" i="68"/>
  <c r="N34" s="1"/>
  <c r="L33"/>
  <c r="C34"/>
  <c r="D34"/>
  <c r="F34" s="1"/>
  <c r="D33"/>
  <c r="D37" i="69" s="1"/>
  <c r="D39" s="1"/>
  <c r="C33" i="68"/>
  <c r="C37" i="69" s="1"/>
  <c r="C39" s="1"/>
  <c r="T14" i="72"/>
  <c r="T15" s="1"/>
  <c r="T37" s="1"/>
  <c r="U9"/>
  <c r="F33" i="68" l="1"/>
  <c r="E208" i="64"/>
  <c r="K208" s="1"/>
  <c r="K207"/>
  <c r="L37" i="69"/>
  <c r="L39" s="1"/>
  <c r="N33" i="68"/>
  <c r="T212" i="85"/>
  <c r="V211"/>
  <c r="T142"/>
  <c r="V141"/>
  <c r="V142" s="1"/>
  <c r="U14" i="72"/>
  <c r="U15" s="1"/>
  <c r="U37" s="1"/>
  <c r="V9"/>
  <c r="T282" i="85" l="1"/>
  <c r="V212"/>
  <c r="V282" s="1"/>
  <c r="V281"/>
  <c r="W9" i="72"/>
  <c r="V14"/>
  <c r="V15" s="1"/>
  <c r="V37" s="1"/>
  <c r="X9" l="1"/>
  <c r="W14"/>
  <c r="W15" s="1"/>
  <c r="W37" s="1"/>
  <c r="X14" l="1"/>
  <c r="X15" s="1"/>
  <c r="X37" s="1"/>
  <c r="Y9"/>
  <c r="Y14" s="1"/>
  <c r="Y15" s="1"/>
  <c r="Y37" s="1"/>
  <c r="D64" i="64"/>
  <c r="D50" l="1"/>
  <c r="D70" s="1"/>
  <c r="F70" s="1"/>
  <c r="F64"/>
  <c r="D215" l="1"/>
  <c r="D213" s="1"/>
  <c r="F213" s="1"/>
  <c r="F50"/>
  <c r="E224"/>
  <c r="K224" s="1"/>
  <c r="C224"/>
  <c r="C222" s="1"/>
  <c r="D224"/>
  <c r="E73"/>
  <c r="E223"/>
  <c r="K223" s="1"/>
  <c r="D223"/>
  <c r="C73"/>
  <c r="C72" s="1"/>
  <c r="C71" s="1"/>
  <c r="C223"/>
  <c r="D73"/>
  <c r="F215" l="1"/>
  <c r="F223"/>
  <c r="F224"/>
  <c r="E72"/>
  <c r="K73"/>
  <c r="E222"/>
  <c r="D72"/>
  <c r="F73"/>
  <c r="D222"/>
  <c r="E231"/>
  <c r="D231"/>
  <c r="C231"/>
  <c r="E88"/>
  <c r="D230"/>
  <c r="C88"/>
  <c r="C87" s="1"/>
  <c r="C86" s="1"/>
  <c r="C101" s="1"/>
  <c r="C102" s="1"/>
  <c r="E230"/>
  <c r="K230" s="1"/>
  <c r="D88"/>
  <c r="D87" s="1"/>
  <c r="D86" s="1"/>
  <c r="C230"/>
  <c r="C229"/>
  <c r="F230" l="1"/>
  <c r="D229"/>
  <c r="F231"/>
  <c r="K231"/>
  <c r="E87"/>
  <c r="F88"/>
  <c r="K88"/>
  <c r="E71"/>
  <c r="K71" s="1"/>
  <c r="K72"/>
  <c r="E221"/>
  <c r="K221" s="1"/>
  <c r="K222"/>
  <c r="F222"/>
  <c r="D71"/>
  <c r="D101" s="1"/>
  <c r="F72"/>
  <c r="E229"/>
  <c r="E86" l="1"/>
  <c r="K87"/>
  <c r="F87"/>
  <c r="E228"/>
  <c r="K229"/>
  <c r="F229"/>
  <c r="F71"/>
  <c r="D102"/>
  <c r="E220"/>
  <c r="K220" s="1"/>
  <c r="K228"/>
  <c r="D226"/>
  <c r="C226"/>
  <c r="C179"/>
  <c r="C178" s="1"/>
  <c r="C177" s="1"/>
  <c r="D227"/>
  <c r="C227"/>
  <c r="C225" s="1"/>
  <c r="C221" s="1"/>
  <c r="D179"/>
  <c r="K86" l="1"/>
  <c r="F86"/>
  <c r="E101"/>
  <c r="F101" s="1"/>
  <c r="D225"/>
  <c r="F227"/>
  <c r="D178"/>
  <c r="F179"/>
  <c r="J284" i="85"/>
  <c r="E102" i="64" l="1"/>
  <c r="K102" s="1"/>
  <c r="K101"/>
  <c r="D221"/>
  <c r="F221" s="1"/>
  <c r="F225"/>
  <c r="D177"/>
  <c r="F177" s="1"/>
  <c r="F178"/>
  <c r="J285" i="85"/>
  <c r="F102" i="64" l="1"/>
  <c r="D234"/>
  <c r="F234" s="1"/>
  <c r="C233"/>
  <c r="C232" s="1"/>
  <c r="C228" s="1"/>
  <c r="C220" s="1"/>
  <c r="C234"/>
  <c r="C194"/>
  <c r="C193" s="1"/>
  <c r="C192" s="1"/>
  <c r="C207" s="1"/>
  <c r="C208" s="1"/>
  <c r="D194"/>
  <c r="D233"/>
  <c r="D193" l="1"/>
  <c r="F194"/>
  <c r="D232"/>
  <c r="D192" l="1"/>
  <c r="F193"/>
  <c r="D228"/>
  <c r="F232"/>
  <c r="D207" l="1"/>
  <c r="F192"/>
  <c r="D220"/>
  <c r="F220" s="1"/>
  <c r="F228"/>
  <c r="F207" l="1"/>
  <c r="D208"/>
  <c r="F208" s="1"/>
</calcChain>
</file>

<file path=xl/comments1.xml><?xml version="1.0" encoding="utf-8"?>
<comments xmlns="http://schemas.openxmlformats.org/spreadsheetml/2006/main">
  <authors>
    <author>ecsegi</author>
  </authors>
  <commentList>
    <comment ref="AC5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bérrendezés tám</t>
        </r>
      </text>
    </comment>
    <comment ref="X11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étkeztetés korrekció (étk kieg-4270),
</t>
        </r>
      </text>
    </comment>
    <comment ref="AC75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bérrendezés tám</t>
        </r>
      </text>
    </comment>
    <comment ref="X81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étkeztetés korrekció (étk kieg-4270),
- közfogl korrekció</t>
        </r>
      </text>
    </comment>
    <comment ref="AC145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bérrendezés tám</t>
        </r>
      </text>
    </comment>
    <comment ref="X151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étkeztetés korrekció (étk kieg-4270),
- közfogl korrekció</t>
        </r>
      </text>
    </comment>
    <comment ref="AC215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bérrendezés tám</t>
        </r>
      </text>
    </comment>
    <comment ref="X221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étkeztetés korrekció (étk kieg-4270),
- közfogl korrekció</t>
        </r>
      </text>
    </comment>
  </commentList>
</comments>
</file>

<file path=xl/sharedStrings.xml><?xml version="1.0" encoding="utf-8"?>
<sst xmlns="http://schemas.openxmlformats.org/spreadsheetml/2006/main" count="10137" uniqueCount="2808">
  <si>
    <t>Egyéb működési célú támogatások államháztartáson belülre</t>
  </si>
  <si>
    <t>Egyéb működési célú támogatások államháztartáson kívülre</t>
  </si>
  <si>
    <t>Egyéb felhalmozási célú támogatások államháztartáson belülre</t>
  </si>
  <si>
    <t>4.</t>
  </si>
  <si>
    <t>1.</t>
  </si>
  <si>
    <t>2.</t>
  </si>
  <si>
    <t>3.</t>
  </si>
  <si>
    <t>Megnevezés</t>
  </si>
  <si>
    <t>Sor-
szám</t>
  </si>
  <si>
    <t>12.</t>
  </si>
  <si>
    <t>11.</t>
  </si>
  <si>
    <t>10.</t>
  </si>
  <si>
    <t>9.</t>
  </si>
  <si>
    <t>8.</t>
  </si>
  <si>
    <t>7.</t>
  </si>
  <si>
    <t>6.</t>
  </si>
  <si>
    <t>5.</t>
  </si>
  <si>
    <t>Sor-szám</t>
  </si>
  <si>
    <t>Összesen</t>
  </si>
  <si>
    <t>-</t>
  </si>
  <si>
    <t>IV.</t>
  </si>
  <si>
    <t>III.</t>
  </si>
  <si>
    <t>II.</t>
  </si>
  <si>
    <t>I.</t>
  </si>
  <si>
    <t>Települési önkormányzatok muzeális intézményi feladatainak támogatása</t>
  </si>
  <si>
    <t>A települési önkormányzatok helyi közösségi közlekedésének támogatása</t>
  </si>
  <si>
    <t>Lakott külterülettel kapcsolatos feladatok támogatása</t>
  </si>
  <si>
    <t>Üdülőhelyi feladatok támogatása</t>
  </si>
  <si>
    <t>Önkormányzati feladatellátást szolgáló fejlesztések</t>
  </si>
  <si>
    <t>Ózdi martinsalak felhasználása miatt kárt szenvedett lakóépületek tulajdonosainak kártalanítása</t>
  </si>
  <si>
    <t>Kompok, révek fenntartásának, felújításának támogatása</t>
  </si>
  <si>
    <t>Lakossági víz- és csatornaszolgáltatás támogatása</t>
  </si>
  <si>
    <t>23.</t>
  </si>
  <si>
    <t>22.</t>
  </si>
  <si>
    <t>21.</t>
  </si>
  <si>
    <t>20.</t>
  </si>
  <si>
    <t>19.</t>
  </si>
  <si>
    <t>VIII.</t>
  </si>
  <si>
    <t>18.</t>
  </si>
  <si>
    <t>17.</t>
  </si>
  <si>
    <t>16.</t>
  </si>
  <si>
    <t>VII.</t>
  </si>
  <si>
    <t>VI.</t>
  </si>
  <si>
    <t>15.</t>
  </si>
  <si>
    <t>14.</t>
  </si>
  <si>
    <t>13.</t>
  </si>
  <si>
    <t xml:space="preserve"> Személyi juttatások</t>
  </si>
  <si>
    <t>1. melléklet</t>
  </si>
  <si>
    <t>BEVÉTELEK</t>
  </si>
  <si>
    <t>Ezer forintban !</t>
  </si>
  <si>
    <t>Bevételi jogcím</t>
  </si>
  <si>
    <t>Kötelező feladatok</t>
  </si>
  <si>
    <t>Önként vállalt feladatok</t>
  </si>
  <si>
    <t>Állami (államigazgatási) feladatok</t>
  </si>
  <si>
    <t>2.1.</t>
  </si>
  <si>
    <t>2.2.</t>
  </si>
  <si>
    <t>2.2.1.</t>
  </si>
  <si>
    <t>2.2.2.</t>
  </si>
  <si>
    <t>3.1.</t>
  </si>
  <si>
    <t>3.2.</t>
  </si>
  <si>
    <t>3.3.</t>
  </si>
  <si>
    <t>4.1.</t>
  </si>
  <si>
    <t>4.2.</t>
  </si>
  <si>
    <t>4.3.</t>
  </si>
  <si>
    <t>4.4.</t>
  </si>
  <si>
    <t>4.5.</t>
  </si>
  <si>
    <t>8.1.</t>
  </si>
  <si>
    <t>8.2.</t>
  </si>
  <si>
    <t>8.3.</t>
  </si>
  <si>
    <t>9.1.</t>
  </si>
  <si>
    <t>9.2.</t>
  </si>
  <si>
    <t>9.3.</t>
  </si>
  <si>
    <t>9.4.</t>
  </si>
  <si>
    <t>12.1.</t>
  </si>
  <si>
    <t>12.2.</t>
  </si>
  <si>
    <t>13.1.</t>
  </si>
  <si>
    <t>13.2.</t>
  </si>
  <si>
    <t>13.3.</t>
  </si>
  <si>
    <t>15.1.</t>
  </si>
  <si>
    <t>15.2.</t>
  </si>
  <si>
    <t>KIADÁSOK</t>
  </si>
  <si>
    <t>1.1.</t>
  </si>
  <si>
    <t>1.2.</t>
  </si>
  <si>
    <t>2.3.</t>
  </si>
  <si>
    <t>2.4.</t>
  </si>
  <si>
    <t>2.5.</t>
  </si>
  <si>
    <t>2.6.</t>
  </si>
  <si>
    <t>6.1.</t>
  </si>
  <si>
    <t>6.2.</t>
  </si>
  <si>
    <t>KÖLTSÉGVETÉSI BEVÉTELEK ÉS KIADÁSOK EGYENLEGE</t>
  </si>
  <si>
    <t>FINANSZÍROZÁSI CÉLÚ BEVÉTELEK ÉS KIADÁSOK EGYENLEGE</t>
  </si>
  <si>
    <t>Éves engedélyezett létszám előirányzat (fő)</t>
  </si>
  <si>
    <t>Közfoglalkoztatottak létszáma (fő)</t>
  </si>
  <si>
    <t>Helyi önkormányzatok működésének általános támogatása (B111)</t>
  </si>
  <si>
    <t>Települési önkormányzatok egyes köznevelési feladatainak támogatása (B112)</t>
  </si>
  <si>
    <t>Települési önkormányzatok szociális és gyermekjóléti  feladatainak támogatása (B113)</t>
  </si>
  <si>
    <t>Települési önkormányzatok kulturális feladatainak támogatása (B114)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</si>
  <si>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</si>
  <si>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</si>
  <si>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(B14)</t>
  </si>
  <si>
    <t>Működési célú visszatérítendő támogatások, kölcsönök igénybevétele államháztartáson belülről (B15)</t>
  </si>
  <si>
    <t>Egyéb működési célú támogatások bevételei államháztartáson belülről (B16)</t>
  </si>
  <si>
    <t>Jövedelemadók (B31)</t>
  </si>
  <si>
    <t>Szociális hozzájárulási adó és járulékok (B32)</t>
  </si>
  <si>
    <t>Bérhez és foglalkoztatáshoz kapcsolódó adók (B33)</t>
  </si>
  <si>
    <t>Vagyoni tipusú adók  (B34)</t>
  </si>
  <si>
    <t>Termékek és szolgáltatások adói (B35)</t>
  </si>
  <si>
    <t>Áru- és készletértékesítés ellenértéke (B401)</t>
  </si>
  <si>
    <t>Szolgáltatások ellenértéke (B402)</t>
  </si>
  <si>
    <t>Közvetített szolgáltatások értéke (B403)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</si>
  <si>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</si>
  <si>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</si>
  <si>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</si>
  <si>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</si>
  <si>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Egyéb pénzügyi műveletek bevételei (B409)</t>
  </si>
  <si>
    <t>Működési célú garancia- és kezességvállalásból származó megtérülések államháztartáson kívülről (B61)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</si>
  <si>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</si>
  <si>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</si>
  <si>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(B23)</t>
  </si>
  <si>
    <t>Felhalmozási célú visszatérítendő támogatások, kölcsönök igénybevétele államháztartáson belülről (B24)</t>
  </si>
  <si>
    <t>Egyéb felhalmozási célú támogatások bevételei államháztartáson belülről (B25)</t>
  </si>
  <si>
    <t>Immateriális javak értékesítése (B51)</t>
  </si>
  <si>
    <t>Ingatlanok értékesítése (B52)</t>
  </si>
  <si>
    <t>Egyéb tárgyi eszközök értékesítése (B53)</t>
  </si>
  <si>
    <t>Részesedések értékesítése (B54)</t>
  </si>
  <si>
    <t>Részesedések megszűnéséhez kapcsolódó bevételek (B55)</t>
  </si>
  <si>
    <t>Felhalmozási célú garancia- és kezességvállalásból származó megtérülések államháztartáson kívülről (B71)</t>
  </si>
  <si>
    <t>Foglalkoztatottak személyi juttatásai (K11)</t>
  </si>
  <si>
    <t>Külső személyi juttatások (K12)</t>
  </si>
  <si>
    <t>Készletbeszerzés (K31)</t>
  </si>
  <si>
    <t>Kommunikációs szolgáltatások (K32)</t>
  </si>
  <si>
    <t>Szolgáltatási kiadások (K33)</t>
  </si>
  <si>
    <t>Kiküldetések, reklám- és propagandakiadások (K34)</t>
  </si>
  <si>
    <t>Különféle befizetések és egyéb dologi kiadások (K35)</t>
  </si>
  <si>
    <t>Társadalombiztosítási ellátások (K41)</t>
  </si>
  <si>
    <t>Családi támogatások (K42)</t>
  </si>
  <si>
    <t>Pénzbeli kárpótlások, kártérítések (K43)</t>
  </si>
  <si>
    <t>Betegséggel kapcsolatos (nem társadalombiztosítási) ellátások (K44)</t>
  </si>
  <si>
    <t>Foglalkoztatással, munkanélküliséggel kapcsolatos ellátások (K45)</t>
  </si>
  <si>
    <t>Lakhatással kapcsolatos ellátások (K46)</t>
  </si>
  <si>
    <t>Intézményi ellátottak pénzbeli juttatásai (K47)</t>
  </si>
  <si>
    <t>Egyéb nem intézményi ellátások (K48)</t>
  </si>
  <si>
    <t>Nemzetközi kötelezettségek (K501)</t>
  </si>
  <si>
    <t>Elvonások és befizetések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</si>
  <si>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</si>
  <si>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(K504)</t>
  </si>
  <si>
    <t>Működési célú visszatérítendő támogatások, kölcsönök törlesztése államháztartáson belülre (K505)</t>
  </si>
  <si>
    <t>Egyéb működési célú támogatások államháztartáson belülre (K506)</t>
  </si>
  <si>
    <t>Működési célú garancia- és kezességvállalásból származó kifizetés államháztartáson kívülre (K507)</t>
  </si>
  <si>
    <t>Működési célú visszatérítendő támogatások, kölcsönök nyújtása államháztartáson kívülre (K508)</t>
  </si>
  <si>
    <t>Árkiegészítések, ártámogatások (K509)</t>
  </si>
  <si>
    <t>Kamattámogatások (K510)</t>
  </si>
  <si>
    <t>Immateriális javak beszerzése, létesítése (K61)</t>
  </si>
  <si>
    <t>Ingatlanok beszerzése, létesítése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</si>
  <si>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</si>
  <si>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</si>
  <si>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</si>
  <si>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</si>
  <si>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</si>
  <si>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</si>
  <si>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</si>
  <si>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</si>
  <si>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</si>
  <si>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</si>
  <si>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Felhalmozási célú visszatérítendő támogatások, kölcsönök nyújtása államháztartáson belülre (K82)</t>
  </si>
  <si>
    <t>Felhalmozási célú visszatérítendő támogatások, kölcsönök törlesztése államháztartáson belülre (K83)</t>
  </si>
  <si>
    <t>Egyéb felhalmozási célú támogatások államháztartáson belülre (K84)</t>
  </si>
  <si>
    <t>Felhalmozási célú garancia- és kezességvállalásból származó kifizetés államháztartáson kívülre (K85)</t>
  </si>
  <si>
    <t>Felhalmozási célú visszatérítendő támogatások, kölcsönök nyújtása államháztartáson kívülre (K86)</t>
  </si>
  <si>
    <t>Lakástámogatás (K87)</t>
  </si>
  <si>
    <t>Hitel-, kölcsöntörlesztés államháztartáson kívülre (K911)</t>
  </si>
  <si>
    <t>Belföldi értékpapírok kiadásai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</si>
  <si>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</si>
  <si>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</si>
  <si>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</si>
  <si>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Pénzügyi lízing kiadásai (K917)</t>
  </si>
  <si>
    <t>Központi költségvetés sajátos finanszírozási kiadásai (K918)</t>
  </si>
  <si>
    <t>Külföldi finanszírozás kiadásai (K92)</t>
  </si>
  <si>
    <t>Adóssághoz nem kapcsolódó származékos ügyletek kiadásai (K93)</t>
  </si>
  <si>
    <t>Pénzeszközök betétként elhelyezése (belső finanszírozás) (K916)</t>
  </si>
  <si>
    <t>3.4.</t>
  </si>
  <si>
    <t>3.5.</t>
  </si>
  <si>
    <t>6.3.</t>
  </si>
  <si>
    <t>6.4.</t>
  </si>
  <si>
    <t>6.5.</t>
  </si>
  <si>
    <t>7.1.</t>
  </si>
  <si>
    <t>7.2.</t>
  </si>
  <si>
    <t>7.3.</t>
  </si>
  <si>
    <t>7.4.</t>
  </si>
  <si>
    <t>7.5.</t>
  </si>
  <si>
    <t>2.1.1.</t>
  </si>
  <si>
    <t>2.1.2.</t>
  </si>
  <si>
    <t>2.1.3.</t>
  </si>
  <si>
    <t>2.1.4.</t>
  </si>
  <si>
    <t>2.1.5.</t>
  </si>
  <si>
    <t>2.1.6.</t>
  </si>
  <si>
    <t>12.1.1.</t>
  </si>
  <si>
    <t>12.1.2.</t>
  </si>
  <si>
    <t>12.1.3.</t>
  </si>
  <si>
    <t>12.1.4.</t>
  </si>
  <si>
    <t>12.1.5.</t>
  </si>
  <si>
    <t>12.1.6.</t>
  </si>
  <si>
    <t>12.1.8.</t>
  </si>
  <si>
    <t>12.3.</t>
  </si>
  <si>
    <t>12.1.7.</t>
  </si>
  <si>
    <t>13.1.1.</t>
  </si>
  <si>
    <t>13.1.2.</t>
  </si>
  <si>
    <t>13.1.3.</t>
  </si>
  <si>
    <t>13.1.4.</t>
  </si>
  <si>
    <t>13.1.5.</t>
  </si>
  <si>
    <t>13.1.6.</t>
  </si>
  <si>
    <t>13.1.7.</t>
  </si>
  <si>
    <t>13.1.8.</t>
  </si>
  <si>
    <t>15.1.1.</t>
  </si>
  <si>
    <t>15.1.2.</t>
  </si>
  <si>
    <t>15.1.3.</t>
  </si>
  <si>
    <t>15.1.4.</t>
  </si>
  <si>
    <t>15.1.5.</t>
  </si>
  <si>
    <t>15.1.6.</t>
  </si>
  <si>
    <t>15.1.7.</t>
  </si>
  <si>
    <t>15.1.8.</t>
  </si>
  <si>
    <t>15.3.</t>
  </si>
  <si>
    <t>4.6.</t>
  </si>
  <si>
    <t>4.7.</t>
  </si>
  <si>
    <t>4.8.</t>
  </si>
  <si>
    <t>4.9.</t>
  </si>
  <si>
    <t>4.10.</t>
  </si>
  <si>
    <t>5.1.</t>
  </si>
  <si>
    <t>5.2.</t>
  </si>
  <si>
    <t>5.3.</t>
  </si>
  <si>
    <t>8.4.</t>
  </si>
  <si>
    <t>8.5.</t>
  </si>
  <si>
    <t>14.1.</t>
  </si>
  <si>
    <t>14.1.1.</t>
  </si>
  <si>
    <t>14.1.2.</t>
  </si>
  <si>
    <t>14.1.3.</t>
  </si>
  <si>
    <t>14.1.4.</t>
  </si>
  <si>
    <t>14.1.5.</t>
  </si>
  <si>
    <t>14.1.6.</t>
  </si>
  <si>
    <t>14.1.7.</t>
  </si>
  <si>
    <t>14.1.8.</t>
  </si>
  <si>
    <t>14.2.</t>
  </si>
  <si>
    <t>14.3.</t>
  </si>
  <si>
    <t>Külföldi finanszírozás bevételei (B82)</t>
  </si>
  <si>
    <t>Adóssághoz nem kapcsolódó származékos ügyletek bevételei (B83)</t>
  </si>
  <si>
    <t>Központi költségvetés sajátos finanszírozási bevételei (B818)</t>
  </si>
  <si>
    <t>Hitel-, kölcsönfelvétel államháztartáson kívülről (B811)</t>
  </si>
  <si>
    <t>Belföldi értékpapírok bevételei (B812)</t>
  </si>
  <si>
    <t>Maradvány igénybevétele (belső finanszírozás)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</si>
  <si>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</si>
  <si>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</si>
  <si>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</si>
  <si>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Betétek megszüntetése (belső finanszírozás) (B817)</t>
  </si>
  <si>
    <t>a.</t>
  </si>
  <si>
    <t>b.</t>
  </si>
  <si>
    <t>c.</t>
  </si>
  <si>
    <t>I/2. Munkaadókat terhelő járulékok és szociális hozzájárulási adó (K2)</t>
  </si>
  <si>
    <t>5.4.</t>
  </si>
  <si>
    <t>5.5.</t>
  </si>
  <si>
    <t>5.6.</t>
  </si>
  <si>
    <t>5.7.</t>
  </si>
  <si>
    <t>5.8.</t>
  </si>
  <si>
    <t>6.6.</t>
  </si>
  <si>
    <t>6.7.</t>
  </si>
  <si>
    <t>6.8.</t>
  </si>
  <si>
    <t>6.9.</t>
  </si>
  <si>
    <t>6.10.</t>
  </si>
  <si>
    <t>6.11.</t>
  </si>
  <si>
    <t>6.12.</t>
  </si>
  <si>
    <t>8.6.</t>
  </si>
  <si>
    <t>8.7.</t>
  </si>
  <si>
    <t>10.1.</t>
  </si>
  <si>
    <t>10.2.</t>
  </si>
  <si>
    <t>10.3.</t>
  </si>
  <si>
    <t>10.4.</t>
  </si>
  <si>
    <t>10.5.</t>
  </si>
  <si>
    <t>10.6.</t>
  </si>
  <si>
    <t>10.7.</t>
  </si>
  <si>
    <t>10.8.</t>
  </si>
  <si>
    <t>2. táblázat</t>
  </si>
  <si>
    <t>1. táblázat</t>
  </si>
  <si>
    <t>Ezer forintban!</t>
  </si>
  <si>
    <t>3. táblázat</t>
  </si>
  <si>
    <t>4. táblázat</t>
  </si>
  <si>
    <t>5. táblázat</t>
  </si>
  <si>
    <t>Működési célú belső finanszírozási műveletek bevételei [=1. melléklet 1. táblázat 12.1.3.+12.1.7. sor]</t>
  </si>
  <si>
    <t>Működési célú külső finanszírozási műveletek bevételei [=1. melléklet 1. táblázat 12.1.1.+12.1.2.+12.1.4+…+12.1.6.+12.1.8. sor]</t>
  </si>
  <si>
    <t>Működési célú belső finanszírozási műveletek kiadásai (belső finanszírozás) [=1. melléklet 2. táblázat 13.1.6. sor]</t>
  </si>
  <si>
    <t>Működési célú külső finanszírozási műveletek kiadásai [=1. melléklet 2. táblázat 13.1.1.+…+13.1.5.+13.1.7.+13.1.8. sor]</t>
  </si>
  <si>
    <t>Felhalmozási célú belső finanszírozási műveletek kiadásai (belső finanszírozás) [=1. melléklet 2. táblázat 15.1.6. sor]</t>
  </si>
  <si>
    <t>Felhalmozási célú külső finanszírozási műveletek kiadásai [=1. melléklet 2. táblázat 15.1.1.+…+15.1.5.+15.1.7.+15.1.8. sor]</t>
  </si>
  <si>
    <t>Felhalmozási célú belső finanszírozási műveletek bevételei [=1. melléklet 1. táblázat 14.1.3.+14.1.7. sor]</t>
  </si>
  <si>
    <t>Felhalmozási célú külső finanszírozási műveletek bevételei [=1. melléklet 1. táblázat 14.1.1.+14.1.2.+14.1.4+…+14.1.6.+14.1.8. sor]</t>
  </si>
  <si>
    <t>3.1.1.</t>
  </si>
  <si>
    <t>3.1.2.</t>
  </si>
  <si>
    <t>3.2.1.</t>
  </si>
  <si>
    <t>3.2.2.</t>
  </si>
  <si>
    <r>
      <t xml:space="preserve">I. Működési költségvetés bevételei </t>
    </r>
    <r>
      <rPr>
        <b/>
        <i/>
        <sz val="9"/>
        <rFont val="Times New Roman"/>
        <family val="1"/>
        <charset val="238"/>
      </rPr>
      <t>[=2.+...+5.]</t>
    </r>
  </si>
  <si>
    <r>
      <t xml:space="preserve">I/1. Működési célú támogatások államháztartáson belülről (B1) </t>
    </r>
    <r>
      <rPr>
        <b/>
        <i/>
        <sz val="9"/>
        <rFont val="Times New Roman"/>
        <family val="1"/>
        <charset val="238"/>
      </rPr>
      <t>[=2.1.+…+2.6.]</t>
    </r>
  </si>
  <si>
    <r>
      <t xml:space="preserve">Önkormányzatok működési támogatásai (B11) </t>
    </r>
    <r>
      <rPr>
        <i/>
        <sz val="9"/>
        <rFont val="Times New Roman"/>
        <family val="1"/>
        <charset val="238"/>
      </rPr>
      <t>[=2.1.1.+…+2.1.6.]</t>
    </r>
  </si>
  <si>
    <r>
      <t xml:space="preserve">II. Felhalmozási költségvetés bevételei </t>
    </r>
    <r>
      <rPr>
        <b/>
        <i/>
        <sz val="9"/>
        <rFont val="Times New Roman"/>
        <family val="1"/>
        <charset val="238"/>
      </rPr>
      <t>[=7.+…+9.]</t>
    </r>
  </si>
  <si>
    <r>
      <t xml:space="preserve">II/1. Felhalmozási célú támogatások államháztartáson belülről (B2) </t>
    </r>
    <r>
      <rPr>
        <b/>
        <i/>
        <sz val="9"/>
        <rFont val="Times New Roman"/>
        <family val="1"/>
        <charset val="238"/>
      </rPr>
      <t>[=7.1.+…+7.5.]</t>
    </r>
  </si>
  <si>
    <r>
      <t xml:space="preserve">II/2. Felhalmozási bevételek (B5) </t>
    </r>
    <r>
      <rPr>
        <b/>
        <i/>
        <sz val="9"/>
        <rFont val="Times New Roman"/>
        <family val="1"/>
        <charset val="238"/>
      </rPr>
      <t>[=8.1.+…+8.5.]</t>
    </r>
  </si>
  <si>
    <r>
      <t xml:space="preserve">KÖLTSÉGVETÉSI BEVÉTELEK ÖSSZESEN </t>
    </r>
    <r>
      <rPr>
        <b/>
        <i/>
        <sz val="9"/>
        <rFont val="Times New Roman"/>
        <family val="1"/>
        <charset val="238"/>
      </rPr>
      <t>[=1.+6.]</t>
    </r>
  </si>
  <si>
    <r>
      <t xml:space="preserve">III. Működési finanszírozási bevételek (B81) </t>
    </r>
    <r>
      <rPr>
        <b/>
        <i/>
        <sz val="9"/>
        <rFont val="Times New Roman"/>
        <family val="1"/>
        <charset val="238"/>
      </rPr>
      <t>[=12.]</t>
    </r>
  </si>
  <si>
    <r>
      <t xml:space="preserve">IV. Felhalmozási finanszírozási bevételek (B81) </t>
    </r>
    <r>
      <rPr>
        <b/>
        <i/>
        <sz val="9"/>
        <rFont val="Times New Roman"/>
        <family val="1"/>
        <charset val="238"/>
      </rPr>
      <t>[=14.]</t>
    </r>
  </si>
  <si>
    <r>
      <t xml:space="preserve">FINANSZÍROZÁSI BEVÉTELEK ÖSSZESEN (B8) </t>
    </r>
    <r>
      <rPr>
        <b/>
        <i/>
        <sz val="9"/>
        <rFont val="Times New Roman"/>
        <family val="1"/>
        <charset val="238"/>
      </rPr>
      <t>[=11.+13.]</t>
    </r>
  </si>
  <si>
    <r>
      <t xml:space="preserve">BEVÉTELEK MINDÖSSZESEN </t>
    </r>
    <r>
      <rPr>
        <b/>
        <i/>
        <sz val="9"/>
        <rFont val="Times New Roman"/>
        <family val="1"/>
        <charset val="238"/>
      </rPr>
      <t>[=10.+15.]</t>
    </r>
  </si>
  <si>
    <r>
      <t xml:space="preserve">I. Működési költségvetés kiadásai </t>
    </r>
    <r>
      <rPr>
        <b/>
        <i/>
        <sz val="9"/>
        <rFont val="Times New Roman"/>
        <family val="1"/>
        <charset val="238"/>
      </rPr>
      <t>[=2.+...+6.]</t>
    </r>
  </si>
  <si>
    <r>
      <t xml:space="preserve">I/1. Személyi juttatások (K1) </t>
    </r>
    <r>
      <rPr>
        <b/>
        <i/>
        <sz val="9"/>
        <rFont val="Times New Roman"/>
        <family val="1"/>
        <charset val="238"/>
      </rPr>
      <t>[=2.1.+2.2.]</t>
    </r>
  </si>
  <si>
    <r>
      <t xml:space="preserve">I/4. Ellátottak pénzbeli juttatásai (K4) </t>
    </r>
    <r>
      <rPr>
        <b/>
        <i/>
        <sz val="9"/>
        <rFont val="Times New Roman"/>
        <family val="1"/>
        <charset val="238"/>
      </rPr>
      <t>[=5.1.+…+5.8.]</t>
    </r>
  </si>
  <si>
    <r>
      <t xml:space="preserve">II. Felhalmozási költségvetés kiadásai </t>
    </r>
    <r>
      <rPr>
        <b/>
        <i/>
        <sz val="9"/>
        <rFont val="Times New Roman"/>
        <family val="1"/>
        <charset val="238"/>
      </rPr>
      <t>[=8.+…+10.]</t>
    </r>
  </si>
  <si>
    <r>
      <t xml:space="preserve">II/1. Beruházások (K6) </t>
    </r>
    <r>
      <rPr>
        <b/>
        <i/>
        <sz val="9"/>
        <rFont val="Times New Roman"/>
        <family val="1"/>
        <charset val="238"/>
      </rPr>
      <t>[=8.1.+…+8.7.]</t>
    </r>
  </si>
  <si>
    <r>
      <t xml:space="preserve">II/2. Felújítások (K7) </t>
    </r>
    <r>
      <rPr>
        <b/>
        <i/>
        <sz val="9"/>
        <rFont val="Times New Roman"/>
        <family val="1"/>
        <charset val="238"/>
      </rPr>
      <t>[9.1.+…+9.4.]</t>
    </r>
  </si>
  <si>
    <r>
      <t xml:space="preserve">KÖLTSÉGVETÉSI KIADÁSOK ÖSSZESEN </t>
    </r>
    <r>
      <rPr>
        <b/>
        <i/>
        <sz val="9"/>
        <rFont val="Times New Roman"/>
        <family val="1"/>
        <charset val="238"/>
      </rPr>
      <t>[=1.+7.]</t>
    </r>
  </si>
  <si>
    <r>
      <t xml:space="preserve">III. Működési finanszírozási kiadások (K91) </t>
    </r>
    <r>
      <rPr>
        <b/>
        <i/>
        <sz val="9"/>
        <rFont val="Times New Roman"/>
        <family val="1"/>
        <charset val="238"/>
      </rPr>
      <t>[=12.]</t>
    </r>
  </si>
  <si>
    <r>
      <t xml:space="preserve">IV. Felhalmozási finanszírozási kiadások (K91) </t>
    </r>
    <r>
      <rPr>
        <b/>
        <i/>
        <sz val="9"/>
        <rFont val="Times New Roman"/>
        <family val="1"/>
        <charset val="238"/>
      </rPr>
      <t>[=15.]</t>
    </r>
  </si>
  <si>
    <r>
      <t xml:space="preserve">FINANSZÍROZÁSI KIADÁSOK ÖSSZESEN (K9) </t>
    </r>
    <r>
      <rPr>
        <b/>
        <i/>
        <sz val="9"/>
        <rFont val="Times New Roman"/>
        <family val="1"/>
        <charset val="238"/>
      </rPr>
      <t>[=12.+14.]</t>
    </r>
  </si>
  <si>
    <r>
      <t xml:space="preserve">KÖLTSÉGVETÉSI HIÁNY, TÖBBLET (+/-) </t>
    </r>
    <r>
      <rPr>
        <b/>
        <i/>
        <sz val="9"/>
        <rFont val="Times New Roman"/>
        <family val="1"/>
        <charset val="238"/>
      </rPr>
      <t>[=1.1.+1.2.]</t>
    </r>
  </si>
  <si>
    <r>
      <t xml:space="preserve">Működési célú költségvetési hiány, többlet (+/-) </t>
    </r>
    <r>
      <rPr>
        <i/>
        <sz val="9"/>
        <rFont val="Times New Roman"/>
        <family val="1"/>
        <charset val="238"/>
      </rPr>
      <t>[=1. melléklet 1. táblázat 1. sor - 1. melléklet 2. táblázat 1. sor]</t>
    </r>
  </si>
  <si>
    <r>
      <t xml:space="preserve">Felhalmozási célú költségvetési hiány, többlet (+/-) </t>
    </r>
    <r>
      <rPr>
        <i/>
        <sz val="9"/>
        <rFont val="Times New Roman"/>
        <family val="1"/>
        <charset val="238"/>
      </rPr>
      <t>[=1. melléklet 1. táblázat 6. sor - 1. melléklet 2. táblázat 7. sor]</t>
    </r>
  </si>
  <si>
    <r>
      <t xml:space="preserve">FINANSZÍROZÁSI MŰVELETEK EGYENLEGE (+/-) </t>
    </r>
    <r>
      <rPr>
        <b/>
        <i/>
        <sz val="9"/>
        <rFont val="Times New Roman"/>
        <family val="1"/>
        <charset val="238"/>
      </rPr>
      <t>[=2.+3.]</t>
    </r>
  </si>
  <si>
    <r>
      <t xml:space="preserve">Működési finanszírozási műveletek egyenlege (+/-) </t>
    </r>
    <r>
      <rPr>
        <b/>
        <i/>
        <sz val="9"/>
        <rFont val="Times New Roman"/>
        <family val="1"/>
        <charset val="238"/>
      </rPr>
      <t>[=2.1.-2.2.]</t>
    </r>
  </si>
  <si>
    <r>
      <t xml:space="preserve">Működési finanszírozási műveletek bevételei </t>
    </r>
    <r>
      <rPr>
        <i/>
        <sz val="9"/>
        <rFont val="Times New Roman"/>
        <family val="1"/>
        <charset val="238"/>
      </rPr>
      <t>[=2.1.1.+2.1.2.]</t>
    </r>
  </si>
  <si>
    <r>
      <t xml:space="preserve">Működési finanszírozási műveletek kiadásai </t>
    </r>
    <r>
      <rPr>
        <i/>
        <sz val="9"/>
        <rFont val="Times New Roman"/>
        <family val="1"/>
        <charset val="238"/>
      </rPr>
      <t>[=2.2.1.+2.2.2.]</t>
    </r>
  </si>
  <si>
    <r>
      <t xml:space="preserve">Felhalmozási finanszírozási műveletek egyenlege (+/-) </t>
    </r>
    <r>
      <rPr>
        <b/>
        <i/>
        <sz val="9"/>
        <rFont val="Times New Roman"/>
        <family val="1"/>
        <charset val="238"/>
      </rPr>
      <t>[=3.1-3.2.]</t>
    </r>
  </si>
  <si>
    <r>
      <t xml:space="preserve">Felhalmozási finanszírozási műveletek bevételei </t>
    </r>
    <r>
      <rPr>
        <i/>
        <sz val="9"/>
        <rFont val="Times New Roman"/>
        <family val="1"/>
        <charset val="238"/>
      </rPr>
      <t>[=3.1.1.+3.1.2.]</t>
    </r>
  </si>
  <si>
    <r>
      <t xml:space="preserve">Felhalmozási finanszírozási műveletek kiadásai </t>
    </r>
    <r>
      <rPr>
        <i/>
        <sz val="9"/>
        <rFont val="Times New Roman"/>
        <family val="1"/>
        <charset val="238"/>
      </rPr>
      <t>[=3.2.1.+3.2.2.]</t>
    </r>
  </si>
  <si>
    <r>
      <t xml:space="preserve">Bevételi jogcím (rovatszám) </t>
    </r>
    <r>
      <rPr>
        <b/>
        <i/>
        <sz val="9"/>
        <rFont val="Times New Roman"/>
        <family val="1"/>
        <charset val="238"/>
      </rPr>
      <t>[képlet]</t>
    </r>
  </si>
  <si>
    <r>
      <t>Kiadási jogcím (rovatszám)</t>
    </r>
    <r>
      <rPr>
        <b/>
        <i/>
        <sz val="9"/>
        <rFont val="Times New Roman"/>
        <family val="1"/>
        <charset val="238"/>
      </rPr>
      <t xml:space="preserve"> [képlet]</t>
    </r>
  </si>
  <si>
    <r>
      <t>MINDÖSSZESEN LÉTSZÁM (fő)</t>
    </r>
    <r>
      <rPr>
        <b/>
        <i/>
        <sz val="9"/>
        <rFont val="Times New Roman"/>
        <family val="1"/>
        <charset val="238"/>
      </rPr>
      <t xml:space="preserve"> [=1.+2.]</t>
    </r>
  </si>
  <si>
    <t>HEVES VÁROS ÖNKORMÁNYZATA ÉS KÖLTSÉGVETÉSI SZERVEI</t>
  </si>
  <si>
    <t>2.6.a.</t>
  </si>
  <si>
    <t>- ebből: Működési célú  fejezeti kezelésű előirányzatok EU-s programok és azok hazai társfinanszírozása (B16)</t>
  </si>
  <si>
    <t>7.5.a.</t>
  </si>
  <si>
    <r>
      <t xml:space="preserve">KIADÁSOK MINDÖSSZESEN </t>
    </r>
    <r>
      <rPr>
        <b/>
        <i/>
        <sz val="9"/>
        <rFont val="Times New Roman"/>
        <family val="1"/>
        <charset val="238"/>
      </rPr>
      <t>[=11.+16.]</t>
    </r>
  </si>
  <si>
    <t>6.6.a.</t>
  </si>
  <si>
    <t>- ebből: Működési célú  fejezeti kezelésű előirányzatok EU-s programok és azok hazai társfinanszírozása (K506)</t>
  </si>
  <si>
    <t>- ebből: Felhalmozási célú  fejezeti kezelésű előirányzatok EU-s programok és azok hazai társfinanszírozása (B25)</t>
  </si>
  <si>
    <t>10.4.a.</t>
  </si>
  <si>
    <t>- ebből: Felhalmozási célú  fejezeti kezelésű előirányzatok EU-s programok és azok hazai társfinanszírozása (K84)</t>
  </si>
  <si>
    <t>4.a.</t>
  </si>
  <si>
    <t>- ebből: EU-s forrásból finanszírozott támogatással megvalósuló programok, projektek beruházási kiadásai (K6)</t>
  </si>
  <si>
    <r>
      <t xml:space="preserve">I/3. Dologi kiadások (K3) </t>
    </r>
    <r>
      <rPr>
        <b/>
        <i/>
        <sz val="9"/>
        <rFont val="Times New Roman"/>
        <family val="1"/>
        <charset val="238"/>
      </rPr>
      <t>[=4.1.+…+4.5.]</t>
    </r>
  </si>
  <si>
    <t>9.a.</t>
  </si>
  <si>
    <t>- ebből: EU-s forrásból finanszírozott támogatással megvalósuló programok, projektek felújítási kiadásai (K7)</t>
  </si>
  <si>
    <t>3.a.</t>
  </si>
  <si>
    <t>- ebből: EU-s forrásból finanszírozott támogatással megvalósuló programok, projektek járulék kiadásai (K2)</t>
  </si>
  <si>
    <t>- ebből: EU-s forrásból finanszírozott támogatással megvalósuló programok, projektek dologi kiadásai (K3)</t>
  </si>
  <si>
    <t>2.a.</t>
  </si>
  <si>
    <t>- ebből: EU-s forrásból finanszírozott támogatással megvalósuló programok, projektek személyi juttatás kiadásai (K1)</t>
  </si>
  <si>
    <t>1.a.</t>
  </si>
  <si>
    <t>- ebből: EU-s forrásból finanszírozott támogatással megvalósuló programok, projekteklétszáma</t>
  </si>
  <si>
    <t>1.1. melléklet</t>
  </si>
  <si>
    <t>HEVES VÁROS ÖNKORMÁNYZATA</t>
  </si>
  <si>
    <t>1.2. melléklet</t>
  </si>
  <si>
    <t>1.3. melléklet</t>
  </si>
  <si>
    <t>HEVES VÁROSI ÓVODÁK ÉS BÖLCSŐDE KÖZNEVELÉSI INTÉZMÉNY</t>
  </si>
  <si>
    <t>1.4. melléklet</t>
  </si>
  <si>
    <t>HEVESI KULTURÁLIS KÖZPONT</t>
  </si>
  <si>
    <t>6.a.</t>
  </si>
  <si>
    <t>d.</t>
  </si>
  <si>
    <t>e.</t>
  </si>
  <si>
    <t>8.1.1.</t>
  </si>
  <si>
    <t>8.1.2.</t>
  </si>
  <si>
    <t>8.1.3.</t>
  </si>
  <si>
    <t>8.1.4.</t>
  </si>
  <si>
    <t>8.1.5.</t>
  </si>
  <si>
    <t>8.1.6.</t>
  </si>
  <si>
    <t>8.1.7.</t>
  </si>
  <si>
    <t>8.1.8.</t>
  </si>
  <si>
    <r>
      <t xml:space="preserve">Működési költségvetés bevételei </t>
    </r>
    <r>
      <rPr>
        <b/>
        <i/>
        <sz val="9"/>
        <rFont val="Times New Roman"/>
        <family val="1"/>
        <charset val="238"/>
      </rPr>
      <t>[=2.+...+5.]</t>
    </r>
  </si>
  <si>
    <r>
      <t xml:space="preserve">Működési költségvetés kiadásai </t>
    </r>
    <r>
      <rPr>
        <b/>
        <i/>
        <sz val="9"/>
        <rFont val="Times New Roman"/>
        <family val="1"/>
        <charset val="238"/>
      </rPr>
      <t>[=2.+...+6.]</t>
    </r>
  </si>
  <si>
    <t>Munkaadókat terhelő járulékok és szociális hozzájárulási adó (K2)</t>
  </si>
  <si>
    <t>Működési célú támogatások államháztartáson belülről (B1)</t>
  </si>
  <si>
    <t>Közhatalmi bevételek (B3)</t>
  </si>
  <si>
    <t>Működési bevételek (B4)</t>
  </si>
  <si>
    <t>Működési célú átvett pénzeszközök (B6)</t>
  </si>
  <si>
    <r>
      <t xml:space="preserve">Működési finanszírozási bevételek (B81) </t>
    </r>
    <r>
      <rPr>
        <b/>
        <i/>
        <sz val="9"/>
        <rFont val="Times New Roman"/>
        <family val="1"/>
        <charset val="238"/>
      </rPr>
      <t>[=8.]</t>
    </r>
  </si>
  <si>
    <t>Személyi juttatások (K1)</t>
  </si>
  <si>
    <t>Dologi kiadások (K3)</t>
  </si>
  <si>
    <t>Ellátottak pénzbeli juttatásai (K4)</t>
  </si>
  <si>
    <t>Egyéb működési célú kiadások (K5)</t>
  </si>
  <si>
    <r>
      <t xml:space="preserve">Működési finanszírozási kiadások (K91) </t>
    </r>
    <r>
      <rPr>
        <b/>
        <i/>
        <sz val="9"/>
        <rFont val="Times New Roman"/>
        <family val="1"/>
        <charset val="238"/>
      </rPr>
      <t>[=8.]</t>
    </r>
  </si>
  <si>
    <r>
      <t xml:space="preserve">MŰKÖDÉSI BEVÉTELEK MINDÖSSZESEN </t>
    </r>
    <r>
      <rPr>
        <b/>
        <i/>
        <sz val="9"/>
        <rFont val="Times New Roman"/>
        <family val="1"/>
        <charset val="238"/>
      </rPr>
      <t>[=1.+7.]</t>
    </r>
  </si>
  <si>
    <t>Működési költségvetési hiány</t>
  </si>
  <si>
    <t>Működési költségvetési többlet</t>
  </si>
  <si>
    <r>
      <t xml:space="preserve">MŰKÖDÉSI KIADÁSOK MINDÖSSZESEN </t>
    </r>
    <r>
      <rPr>
        <b/>
        <i/>
        <sz val="9"/>
        <rFont val="Times New Roman"/>
        <family val="1"/>
        <charset val="238"/>
      </rPr>
      <t>[=1.+7.]</t>
    </r>
  </si>
  <si>
    <t>2.a. melléklet</t>
  </si>
  <si>
    <t>Működési finanszírozási műveletek egyenleg (-)</t>
  </si>
  <si>
    <t>Működési finanszírozási műveletek egyenleg (+)</t>
  </si>
  <si>
    <t>2.b. melléklet</t>
  </si>
  <si>
    <r>
      <t xml:space="preserve">Felhalmozási finanszírozási bevételek (B81) </t>
    </r>
    <r>
      <rPr>
        <b/>
        <i/>
        <sz val="9"/>
        <rFont val="Times New Roman"/>
        <family val="1"/>
        <charset val="238"/>
      </rPr>
      <t>[=8.]</t>
    </r>
  </si>
  <si>
    <r>
      <t xml:space="preserve">FELHALMOZÁSI BEVÉTELEK MINDÖSSZESEN </t>
    </r>
    <r>
      <rPr>
        <b/>
        <i/>
        <sz val="9"/>
        <rFont val="Times New Roman"/>
        <family val="1"/>
        <charset val="238"/>
      </rPr>
      <t>[=1.+7.]</t>
    </r>
  </si>
  <si>
    <t>Felhalmozási finanszírozási műveletek egyenleg (-)</t>
  </si>
  <si>
    <t>Felhalmozási finanszírozási műveletek egyenleg (+)</t>
  </si>
  <si>
    <t>Felhalmozási költségvetési többlet</t>
  </si>
  <si>
    <r>
      <t xml:space="preserve">FELHALMOZÁSI KIADÁSOK MINDÖSSZESEN </t>
    </r>
    <r>
      <rPr>
        <b/>
        <i/>
        <sz val="9"/>
        <rFont val="Times New Roman"/>
        <family val="1"/>
        <charset val="238"/>
      </rPr>
      <t>[=1.+7.]</t>
    </r>
  </si>
  <si>
    <r>
      <t xml:space="preserve">Felhalmozási finanszírozási kiadások (K91) </t>
    </r>
    <r>
      <rPr>
        <b/>
        <i/>
        <sz val="9"/>
        <rFont val="Times New Roman"/>
        <family val="1"/>
        <charset val="238"/>
      </rPr>
      <t>[=8.]</t>
    </r>
  </si>
  <si>
    <t>Felhalmozási célú támogatások államháztartáson belülről (B2)</t>
  </si>
  <si>
    <t>Felhalmozási bevételek (B5)</t>
  </si>
  <si>
    <t>Felhalmozási célú átvett pénzeszközök (B7)</t>
  </si>
  <si>
    <r>
      <t xml:space="preserve">Felhalmozási költségvetés bevételei </t>
    </r>
    <r>
      <rPr>
        <b/>
        <i/>
        <sz val="9"/>
        <rFont val="Times New Roman"/>
        <family val="1"/>
        <charset val="238"/>
      </rPr>
      <t>[=2.+...+4.]</t>
    </r>
  </si>
  <si>
    <r>
      <t xml:space="preserve">Felhalmozási költségvetés kiadásai </t>
    </r>
    <r>
      <rPr>
        <b/>
        <i/>
        <sz val="9"/>
        <rFont val="Times New Roman"/>
        <family val="1"/>
        <charset val="238"/>
      </rPr>
      <t>[=2.+...+4.]</t>
    </r>
  </si>
  <si>
    <t>Beruházások (K6)</t>
  </si>
  <si>
    <t>Felújítások (K7)</t>
  </si>
  <si>
    <t>Egyéb felhalmozási célú kiadások (K8)</t>
  </si>
  <si>
    <t>Felhalmozás költségvetési hiány</t>
  </si>
  <si>
    <t>Köztisztviselő</t>
  </si>
  <si>
    <t>Közalkalmazott</t>
  </si>
  <si>
    <t>Munka Törvénykönyv hatálya alá tartozó</t>
  </si>
  <si>
    <t>Heves Város Önkormányzata kötelező feladatok</t>
  </si>
  <si>
    <t>Heves Város Önkormányzata önként vállalt feladatok</t>
  </si>
  <si>
    <t>Heves Város Önkormányzata állami (államigazgatási) feladatok</t>
  </si>
  <si>
    <t>Heves Város Önkormányzata összesen</t>
  </si>
  <si>
    <t>Önkormányzati jogalkotás</t>
  </si>
  <si>
    <t>Építmény üzemeltetés</t>
  </si>
  <si>
    <t>Munkahelyi étkeztetés</t>
  </si>
  <si>
    <t>Heves Városi Óvodák és Bölcsőde Köznevelési Intézmény kötelező feladatok</t>
  </si>
  <si>
    <t>Heves Városi Óvodák és Bölcsőde Köznevelési Intézmény önként vállalt feladatok</t>
  </si>
  <si>
    <t>Heves Városi Óvodák és Bölcsőde Köznevelési Intézmény összesen</t>
  </si>
  <si>
    <t>Hevesi Kulturális Központ kötelező feladatok</t>
  </si>
  <si>
    <t>Hevesi Kulturális Központ önként vállalt feladsatok</t>
  </si>
  <si>
    <t>Hevesi Kulturális Központ összesen</t>
  </si>
  <si>
    <t>Közfoglalkoztatottak éves létszám-előirányzata</t>
  </si>
  <si>
    <t>3. melléklet</t>
  </si>
  <si>
    <t>MINDÖSSZESEN LÉTSZÁM</t>
  </si>
  <si>
    <t>KÖZFOGLALKOZTATOTTAK ÖSSZESEN</t>
  </si>
  <si>
    <t>ENGEDÉLYEZETT LÉTSZÁM ELŐIRÁNYZAT ÖSSZESEN</t>
  </si>
  <si>
    <t>9. melléklet</t>
  </si>
  <si>
    <t>1. EU-s projekt azonosítója, neve:</t>
  </si>
  <si>
    <t>2. EU-s projekt azonosítója, neve: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</si>
  <si>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</si>
  <si>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</si>
  <si>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</si>
  <si>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</si>
  <si>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</si>
  <si>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</si>
  <si>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</si>
  <si>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</si>
  <si>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</si>
  <si>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Összesen:</t>
  </si>
  <si>
    <t>3. EU-s projekt azonosítója, neve:</t>
  </si>
  <si>
    <t>4. EU-s projekt azonosítója, neve:</t>
  </si>
  <si>
    <t>4. melléklet</t>
  </si>
  <si>
    <t>2016.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</si>
  <si>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</si>
  <si>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</si>
  <si>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</si>
  <si>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</si>
  <si>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</si>
  <si>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</si>
  <si>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</si>
  <si>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</si>
  <si>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Kiadások, költségek összesen:</t>
  </si>
  <si>
    <t>EURÓPAI UNIÓS TÁMOGATÁSSAL MEGVALÓSULÓ PROJEKTEK BEVÉTELEI, KIADÁSAI, HOZZÁJÁRULÁSOK</t>
  </si>
  <si>
    <t>5. melléklet</t>
  </si>
  <si>
    <t xml:space="preserve">Saját bevétel és adósságot keletkeztető ügyletből eredő fizetési kötelezettség </t>
  </si>
  <si>
    <t xml:space="preserve"> Ezer forintban !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</si>
  <si>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</si>
  <si>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</si>
  <si>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</si>
  <si>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</si>
  <si>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</si>
  <si>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</si>
  <si>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</si>
  <si>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</si>
  <si>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</si>
  <si>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</si>
  <si>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</si>
  <si>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</si>
  <si>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</si>
  <si>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24.</t>
  </si>
  <si>
    <t>25.</t>
  </si>
  <si>
    <t>26.</t>
  </si>
  <si>
    <t>27.</t>
  </si>
  <si>
    <t>Fejlesztési cél leírása</t>
  </si>
  <si>
    <t>Fejlesztés várható kiadása</t>
  </si>
  <si>
    <r>
      <t>Évek</t>
    </r>
    <r>
      <rPr>
        <vertAlign val="superscript"/>
        <sz val="9"/>
        <rFont val="Times New Roman CE"/>
        <charset val="238"/>
      </rPr>
      <t>1</t>
    </r>
  </si>
  <si>
    <r>
      <rPr>
        <vertAlign val="superscript"/>
        <sz val="9"/>
        <rFont val="Times New Roman CE"/>
        <charset val="238"/>
      </rPr>
      <t>1</t>
    </r>
    <r>
      <rPr>
        <sz val="9"/>
        <rFont val="Times New Roman CE"/>
        <charset val="238"/>
      </rPr>
      <t>A saját bevételeket és a fizetési kötelezettségeket az ügylet futamidejének végéig be kell mutatni, évenkénti bontásban.</t>
    </r>
  </si>
  <si>
    <t>10. melléklet</t>
  </si>
  <si>
    <t>Többéves kihatással járó döntésekből származó kötelezettségek célok szerint, évenkénti bontásban</t>
  </si>
  <si>
    <t>Kötelezettség jogcíme</t>
  </si>
  <si>
    <t>Köt. váll.
 éve</t>
  </si>
  <si>
    <t>Kiadás vonzata évenként</t>
  </si>
  <si>
    <t>9=(4+5+6+7+8)</t>
  </si>
  <si>
    <t>Kötvénykibocsátással kapcsolatos kötelezettségek</t>
  </si>
  <si>
    <t>Európai uniós támogatással megvalósuló projektek</t>
  </si>
  <si>
    <t>28.</t>
  </si>
  <si>
    <t>29.</t>
  </si>
  <si>
    <t>30.</t>
  </si>
  <si>
    <t>Egyéb kötelezettségek</t>
  </si>
  <si>
    <t>6. melléklet</t>
  </si>
  <si>
    <t>7. melléklet</t>
  </si>
  <si>
    <t>(kedvezmények)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</si>
  <si>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</si>
  <si>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</si>
  <si>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</si>
  <si>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</si>
  <si>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</si>
  <si>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>Építményadó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</si>
  <si>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</si>
  <si>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</si>
  <si>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</si>
  <si>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</si>
  <si>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</si>
  <si>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</si>
  <si>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</si>
  <si>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</si>
  <si>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</si>
  <si>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</si>
  <si>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</si>
  <si>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11. melléklet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</si>
  <si>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</si>
  <si>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</si>
  <si>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</si>
  <si>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</si>
  <si>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</si>
  <si>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</si>
  <si>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</si>
  <si>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</si>
  <si>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</si>
  <si>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</si>
  <si>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</si>
  <si>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</si>
  <si>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</t>
  </si>
  <si>
    <t>Közhatalmi bevételek</t>
  </si>
  <si>
    <t>Bevételek összesen:</t>
  </si>
  <si>
    <t>Kiadások</t>
  </si>
  <si>
    <t>Kiadások összesen:</t>
  </si>
  <si>
    <t>Működési célú támogatások államháztartáson belülről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</si>
  <si>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</si>
  <si>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</si>
  <si>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</si>
  <si>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</si>
  <si>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</si>
  <si>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Működési finanszírozási bevételek</t>
  </si>
  <si>
    <t>Felhalmozási finanszírozási bevételek</t>
  </si>
  <si>
    <t>Működési finanszírozási kiadások</t>
  </si>
  <si>
    <t>Felhalmozási finanszírozási kiadások</t>
  </si>
  <si>
    <t>Havi egyenleg</t>
  </si>
  <si>
    <t>Éves halmozott egyenleg</t>
  </si>
  <si>
    <t>(a tárgyévet megelőző két év teljesítési adataival kiegészítve)</t>
  </si>
  <si>
    <t>Jogcím</t>
  </si>
  <si>
    <t>1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</si>
  <si>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</si>
  <si>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</si>
  <si>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</si>
  <si>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</si>
  <si>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Óvodaműködtetési támogatás</t>
  </si>
  <si>
    <t>Társulás által fenntartott óvodákba bejáró gyermekek utaztatásának támogatása</t>
  </si>
  <si>
    <t>Egyes szociális és gyermekjóléti feladatok támogatása</t>
  </si>
  <si>
    <t>Szociális étkeztetés</t>
  </si>
  <si>
    <t>Házi segítségnyújtás</t>
  </si>
  <si>
    <t>Falugondnoki vagy tanyagondnoki szolgáltatás</t>
  </si>
  <si>
    <t>Időskorúak nappali intézményi ellátása</t>
  </si>
  <si>
    <t>Fogyatékos és demens személyek nappali intézményi ellátása</t>
  </si>
  <si>
    <t>Hajléktalanok nappali intézményi ellátása</t>
  </si>
  <si>
    <t>Könyvtári, közművelődési és múzeumi feladatok támogatása</t>
  </si>
  <si>
    <t>A települési önkormányzatok által fenntartott, illetve támogatott előadó-művészeti szervezetek támogatása</t>
  </si>
  <si>
    <t>V.</t>
  </si>
  <si>
    <t>Forintban!</t>
  </si>
  <si>
    <t>A települési önkormányzatok működésének támogatása</t>
  </si>
  <si>
    <t xml:space="preserve">a) </t>
  </si>
  <si>
    <t>b)</t>
  </si>
  <si>
    <t>ba)</t>
  </si>
  <si>
    <t>bb)</t>
  </si>
  <si>
    <t>bc)</t>
  </si>
  <si>
    <t>bd)</t>
  </si>
  <si>
    <t>c)</t>
  </si>
  <si>
    <t>Egyéb önkormányzati feladatok támogatása</t>
  </si>
  <si>
    <t>d)</t>
  </si>
  <si>
    <t>Nem közművel összegyűjtött háztartási szennyvíz ártalmatlanítása</t>
  </si>
  <si>
    <t>a)</t>
  </si>
  <si>
    <t>e)</t>
  </si>
  <si>
    <t>f)</t>
  </si>
  <si>
    <t>g)</t>
  </si>
  <si>
    <t>h)</t>
  </si>
  <si>
    <t>Pszichiátriai és szenvedélybetegek nappali intézményi ellátása</t>
  </si>
  <si>
    <t>i)</t>
  </si>
  <si>
    <t>j)</t>
  </si>
  <si>
    <t>Bölcsődei ellátás</t>
  </si>
  <si>
    <t>k)</t>
  </si>
  <si>
    <t>Hajléktalanok átmeneti intézményei</t>
  </si>
  <si>
    <t>l)</t>
  </si>
  <si>
    <t>A finanszírozás szempontjából elismert szakmai dolgozók bértámogatása</t>
  </si>
  <si>
    <t>Intézmény-üzemeltetési támogatás</t>
  </si>
  <si>
    <t>Megyei könyvtárak feladatainak támogatása</t>
  </si>
  <si>
    <t>Színházművészeti szervezetek támogatása</t>
  </si>
  <si>
    <t>Táncművészeti szervezetek támogatása</t>
  </si>
  <si>
    <t>Zeneművészeti szervezetek támogatása</t>
  </si>
  <si>
    <t>Kötelező önkormányzati feladatot ellátó intézmények fejlesztése, felújítása</t>
  </si>
  <si>
    <t>Óvodai, iskolai és utánpótlás sport infrastruktúra-fejlesztés, felújítás</t>
  </si>
  <si>
    <t>A kötelezően ellátandó helyi közösségi közlekedési feladat támogatása</t>
  </si>
  <si>
    <t>Költségvetési törvény 2. melléklete szerinti támogatások</t>
  </si>
  <si>
    <t>Költségvetési törvény 3. melléklete szerinti támogatások</t>
  </si>
  <si>
    <t>A</t>
  </si>
  <si>
    <t>B</t>
  </si>
  <si>
    <t>C</t>
  </si>
  <si>
    <t>D</t>
  </si>
  <si>
    <t>14. melléklet</t>
  </si>
  <si>
    <t>Kivitelezés kezdési és befejezési éve</t>
  </si>
  <si>
    <t>7=(2-4-5-6)</t>
  </si>
  <si>
    <t>Heves Város Önkormányzata felújításai</t>
  </si>
  <si>
    <t>Heves Város Önkormányzata felújításai összesen:</t>
  </si>
  <si>
    <t>Heves Városi Óvodák és Bölcsőde Köznevelési Intézmény felújításai</t>
  </si>
  <si>
    <t>Heves Városi Óvodák és Bölcsőde Köznevelési Intézmény felújításai összesen:</t>
  </si>
  <si>
    <t>Hevesi Kulturális Központ felújításai összesen:</t>
  </si>
  <si>
    <t>Heves Város Önkormányzata beruházásai</t>
  </si>
  <si>
    <t>Heves Város Önkormányzata beruházásai összesen:</t>
  </si>
  <si>
    <t>Heves Városi Óvodák és Bölcsőde Köznevelési Intézmény beruházásai</t>
  </si>
  <si>
    <t>Heves Városi Óvodák és Bölcsőde Köznevelési Intézmény beruházásai összesen:</t>
  </si>
  <si>
    <t>Hevesi Kulturális Központ beruházásai</t>
  </si>
  <si>
    <t>Hevesi Kulturális Központ beruházásai összesen:</t>
  </si>
  <si>
    <t>Pályázatból támogatás</t>
  </si>
  <si>
    <t xml:space="preserve">Teljes költség </t>
  </si>
  <si>
    <t>BERUHÁZÁSOK MINDÖSSZESEN:</t>
  </si>
  <si>
    <t>FELÚJÍTÁSOK MINDÖSSZESEN:</t>
  </si>
  <si>
    <t>Heves Város Önkormányzata egyéb felhalmozási célú kiadásai</t>
  </si>
  <si>
    <t>Heves Város Önkormányzata egyéb felhalmozási célú kiadásai összesen:</t>
  </si>
  <si>
    <t>Heves Városi Óvodák és Bölcsőde Köznevelési Intézmény egyéb felhalmozási célú kiadásai</t>
  </si>
  <si>
    <t>Heves Városi Óvodák és Bölcsőde Köznevelési Intézmény egyéb felhalmozási célú kiadásai összesen:</t>
  </si>
  <si>
    <t>Hevesi Kulturális Központ egyéb felhalmozási célú kiadásai</t>
  </si>
  <si>
    <t>Hevesi Kulturális Központ egyéb felhalmozási célú kiadásai összesen:</t>
  </si>
  <si>
    <t>EU-s forrásból finanszírozott támogatással megvalósuló programok, projektek beruházási kiadásai</t>
  </si>
  <si>
    <t>EU-s forrásból finanszírozott támogatással megvalósuló programok, projektek beruházási kiadásai összesen:</t>
  </si>
  <si>
    <t>EU-s forrásból finanszírozott támogatással megvalósuló programok, projektek felújítási kiadásai</t>
  </si>
  <si>
    <t>EU-s forrásból finanszírozott támogatással megvalósuló programok, projektek felújítási kiadásai összesen:</t>
  </si>
  <si>
    <t>EGYÉB FELHALMOZÁSI CÉLÚ KIADÁSOK MINDÖSSZESEN:</t>
  </si>
  <si>
    <t>Felhalmozási célú kiadások megnevezése</t>
  </si>
  <si>
    <t>Támogatott szervezet neve</t>
  </si>
  <si>
    <t>Támogatás célja</t>
  </si>
  <si>
    <t>Heves Város Roma Nemzetiségi Önkormányzata</t>
  </si>
  <si>
    <t>működési kiadások</t>
  </si>
  <si>
    <t>Heves Labdarúgó Sport Club</t>
  </si>
  <si>
    <t>HSE</t>
  </si>
  <si>
    <t>Egyéb működési célú támogatások államháztartáson kívülre összesen:</t>
  </si>
  <si>
    <t>Egyéb működési célú támogatások államháztartáson belülre összesen:</t>
  </si>
  <si>
    <t>Egyéb felhalmozási célú támogatások államháztartáson belülre összesen:</t>
  </si>
  <si>
    <t>Egyéb felhalmozási célú támogatások államháztartáson kívülre</t>
  </si>
  <si>
    <t>Egyéb felhalmozási célú támogatások államháztartáson kívülre összesen:</t>
  </si>
  <si>
    <t>E</t>
  </si>
  <si>
    <t>K</t>
  </si>
  <si>
    <t>Adó, illeték kiszabása, beszedése, adóellenőrzés</t>
  </si>
  <si>
    <t>Finanszírozási műveletek</t>
  </si>
  <si>
    <t xml:space="preserve">Országos és helyi népszavazáshoz kapcsolódó tevékenységek </t>
  </si>
  <si>
    <t xml:space="preserve">Rendszeres gyermekvédelmi pénzbeli ellátás </t>
  </si>
  <si>
    <t xml:space="preserve">Kiegészítő gyermekvédelmi támogatás </t>
  </si>
  <si>
    <t>Rendkívüli gyermekvédelmi támogatás</t>
  </si>
  <si>
    <t>Köztemetés</t>
  </si>
  <si>
    <t>Víztermelés-, kezelés-, ellátás</t>
  </si>
  <si>
    <t>Út, autópálya építése</t>
  </si>
  <si>
    <t>Közutak, hidak, alagutak üzemeltetése, fenntartása</t>
  </si>
  <si>
    <t>Közvilágítás</t>
  </si>
  <si>
    <t xml:space="preserve">Város-, községgazdálkodási m.n.s. szolgáltatások </t>
  </si>
  <si>
    <t>Zöldterület-kezelés</t>
  </si>
  <si>
    <t xml:space="preserve">Közterület rendjének fenntartása </t>
  </si>
  <si>
    <t>Ár- és belvízvédelemmel összefüggő tevékenységek</t>
  </si>
  <si>
    <t>Köztemető fenntartás és működtetés</t>
  </si>
  <si>
    <t>Nem lakóingatlan bérbeadása, üzemeltetése</t>
  </si>
  <si>
    <t xml:space="preserve">Központi költségvetési befizetések </t>
  </si>
  <si>
    <t>A polgári védelem ágazati feladatai</t>
  </si>
  <si>
    <t xml:space="preserve">Versenysport-tevékenység és támogatása </t>
  </si>
  <si>
    <t xml:space="preserve">Önkormányzatok m.n.s. nemzetközi kapcsolatai </t>
  </si>
  <si>
    <t xml:space="preserve">Szabadidős park, fürdő és strandszolgáltatás </t>
  </si>
  <si>
    <t xml:space="preserve">Önkormányzatok által nyújtott lakástámogatás </t>
  </si>
  <si>
    <t xml:space="preserve">Sportlétesítmények működtetése és fejlesztése </t>
  </si>
  <si>
    <t>Országgyűlési képviselőválasztáshoz kapcsolódó tevékenységek</t>
  </si>
  <si>
    <t xml:space="preserve">Önkormányzati képviselőválasztáshoz kapcsolódó tevékenységek </t>
  </si>
  <si>
    <t xml:space="preserve">Munkáltatók által nyújtott lakástámogatás </t>
  </si>
  <si>
    <t xml:space="preserve">Rövid időtartamú közfoglalkoztatás </t>
  </si>
  <si>
    <t>Start-munka program – Téli közfoglalkoztatás</t>
  </si>
  <si>
    <t>Közfoglalkoztatási mintaprogram</t>
  </si>
  <si>
    <t xml:space="preserve">Civil szervezetek program- és egyéb támogatása </t>
  </si>
  <si>
    <t>Önkormányzatok és társulások általános végrehajtó igazgatási tevékenysége</t>
  </si>
  <si>
    <t>Önkormányzatok és önkormányzati hivatalok jogalkotó és általános igazgatási tevékenysége</t>
  </si>
  <si>
    <t>011130</t>
  </si>
  <si>
    <t>Adó-, vám- és jövedéki igazgatás</t>
  </si>
  <si>
    <t>011220</t>
  </si>
  <si>
    <t>Forgatási és befektetési célú finanszírozási műveletek</t>
  </si>
  <si>
    <t>900060</t>
  </si>
  <si>
    <t>Országos és helyi népszavazással kapcsolatos tevékenységek</t>
  </si>
  <si>
    <t>016020</t>
  </si>
  <si>
    <t>Helyi nemzetiségi önkormányzatok igazgatási tevékenysége</t>
  </si>
  <si>
    <t>011140</t>
  </si>
  <si>
    <t>106020</t>
  </si>
  <si>
    <t>Lakásfenntartással, lakhatással összefüggő ellátások</t>
  </si>
  <si>
    <t>Betegséggel kapcsolatos pénzbeli ellátások, támogatások</t>
  </si>
  <si>
    <t>101150</t>
  </si>
  <si>
    <t>Gyermekvédelmi pénzbeli és természetbeni ellátások</t>
  </si>
  <si>
    <t>104051</t>
  </si>
  <si>
    <t>107060</t>
  </si>
  <si>
    <t>Egyéb szociális pénzbeli ellátások, támogatások</t>
  </si>
  <si>
    <t>Elhunyt személyek hátramaradottainak pénzbeli ellátása</t>
  </si>
  <si>
    <t>103010</t>
  </si>
  <si>
    <t>Szociális ösztöndíjak</t>
  </si>
  <si>
    <t>Egyéb szociális természetbeni és pénzbeli ellátások</t>
  </si>
  <si>
    <t>063020</t>
  </si>
  <si>
    <t>Víztermelés, -kezelés, -ellátás</t>
  </si>
  <si>
    <t>051030</t>
  </si>
  <si>
    <t>Nem veszélyes (települési) hulladék vegyes (ömlesztett) begyűjtése, szállítása, átrakása</t>
  </si>
  <si>
    <t>045120</t>
  </si>
  <si>
    <t>Városi és elővárosi közúti személyszállítás</t>
  </si>
  <si>
    <t>045140</t>
  </si>
  <si>
    <t>045160</t>
  </si>
  <si>
    <t>064010</t>
  </si>
  <si>
    <t>066020</t>
  </si>
  <si>
    <t>Más szerv részére végzett pénzügyi-gazdálkodási, üzemeltetési, egyéb szolgáltatások</t>
  </si>
  <si>
    <t>013360</t>
  </si>
  <si>
    <t>072210</t>
  </si>
  <si>
    <t>Járóbetegek gyógyító szakellátása</t>
  </si>
  <si>
    <t>013350</t>
  </si>
  <si>
    <t>Állat-egészségügy</t>
  </si>
  <si>
    <t>042180</t>
  </si>
  <si>
    <t>066010</t>
  </si>
  <si>
    <t>Rövid időtartamú közfoglalkoztatás</t>
  </si>
  <si>
    <t>041231</t>
  </si>
  <si>
    <t>041232</t>
  </si>
  <si>
    <t>Foglalkoztatást helyettesítő támogatásra jogosultak hosszabb időtartamú közfoglalkoztatása</t>
  </si>
  <si>
    <t>041233</t>
  </si>
  <si>
    <t>Hosszabb időtartamú közfoglalkoztatás</t>
  </si>
  <si>
    <t>Egyéb közfoglalkoztatás</t>
  </si>
  <si>
    <t>041237</t>
  </si>
  <si>
    <t>041236</t>
  </si>
  <si>
    <t>Országos közfoglalkoztatási program</t>
  </si>
  <si>
    <t>047410</t>
  </si>
  <si>
    <t>Köztemető-fenntartás és -működtetés</t>
  </si>
  <si>
    <t>013320</t>
  </si>
  <si>
    <t>Önkormányzatok és társulások elszámolásai a központi költségvetéssel</t>
  </si>
  <si>
    <t>018020</t>
  </si>
  <si>
    <t>Önkormányzatok elszámolásai a központi költségvetéssel</t>
  </si>
  <si>
    <t>Központi költségvetési befizetések</t>
  </si>
  <si>
    <t>018010</t>
  </si>
  <si>
    <t>A polgári honvédelem ágazati feladatai, a lakosság felkészítése</t>
  </si>
  <si>
    <t>022010</t>
  </si>
  <si>
    <t>Sportlétesítmények, edzőtáborok működtetése és fejlesztése</t>
  </si>
  <si>
    <t>Versenysport-és utánpótlás-nevelési tevékenység</t>
  </si>
  <si>
    <t>081030</t>
  </si>
  <si>
    <t>081041</t>
  </si>
  <si>
    <t>Közbiztonság, közrend igazgatása</t>
  </si>
  <si>
    <t>081061</t>
  </si>
  <si>
    <t>061030</t>
  </si>
  <si>
    <t>Lakáshoz jutást segítő támogatások</t>
  </si>
  <si>
    <t>Civil szervezetek programtámogatása</t>
  </si>
  <si>
    <t>084032</t>
  </si>
  <si>
    <t>Országos és helyi nemzetiségi önkormányzati választásokhoz kapcsolódó tevékenységek</t>
  </si>
  <si>
    <t xml:space="preserve">Európai parlamenti képviselőválasztáshoz kapcsolódó tevékenységek </t>
  </si>
  <si>
    <t>Országgyűlési, önkormányzati és európai parlamenti képviselőválasztásokhoz kapcsolódó tevékenységek</t>
  </si>
  <si>
    <t>016010</t>
  </si>
  <si>
    <t>13. melléklet</t>
  </si>
  <si>
    <t>BEVÉTELI JOGCÍMEK feladatonként</t>
  </si>
  <si>
    <t>Szakfeladat száma</t>
  </si>
  <si>
    <t>ebből:</t>
  </si>
  <si>
    <t>F</t>
  </si>
  <si>
    <t>G</t>
  </si>
  <si>
    <t>H</t>
  </si>
  <si>
    <t>I</t>
  </si>
  <si>
    <t>J</t>
  </si>
  <si>
    <t>L</t>
  </si>
  <si>
    <t>Hevesi Kulturális Központ önként vállalt feladatok</t>
  </si>
  <si>
    <t>KÖLTSÉGVETÉSI BEVÉTELEK ÖSSZESEN:</t>
  </si>
  <si>
    <t>KIADÁSI JOGCÍMEK feladatonként</t>
  </si>
  <si>
    <t>Intézmény / feladat finanszírozás</t>
  </si>
  <si>
    <t>Kiegészítés</t>
  </si>
  <si>
    <t>Egyéb kötelező önkormányzati feladatok</t>
  </si>
  <si>
    <t>Egyéb önállóan vállalt önkormányzati feladatok</t>
  </si>
  <si>
    <t>Egyéb kötelező polgármesteri hivatali feladatok</t>
  </si>
  <si>
    <t>Kormányzati funkció elnevezése</t>
  </si>
  <si>
    <t>Kormányzati funkció</t>
  </si>
  <si>
    <t xml:space="preserve"> Működési célú támogatások államháztartáson belülről</t>
  </si>
  <si>
    <t xml:space="preserve"> Működési bevételek</t>
  </si>
  <si>
    <t xml:space="preserve"> Működési célú átvett pénzeszközök</t>
  </si>
  <si>
    <t xml:space="preserve"> Ellátottak pénzbeli juttatásai</t>
  </si>
  <si>
    <t>Heves Városi Óvodák és Bölcsőde Köznevelési Intézmény állami (államigazgatási) feladatok</t>
  </si>
  <si>
    <t>Hevesi Kulturális Központ állami (államigazgatási) feladatok</t>
  </si>
  <si>
    <t>HEVES VÁROS ÖNKORMÁNYZATA ÉS KÖLTSÉGVETÉSI SZERVEI KÖLTSÉGVETÉSI BEVÉTELI ÉS KIADÁSI ELŐIRÁNYZATAI FELADATONKÉNT</t>
  </si>
  <si>
    <t>KÖLTSÉGVETÉSI BEVÉTELEK / KIADÁSOK ÖSSZESEN</t>
  </si>
  <si>
    <t>FINANSZÍROZÁSI BEVÉTELEK / KIADÁSOK</t>
  </si>
  <si>
    <t>BEVÉTELEK / KIADÁSOK MINDÖSSZESEN</t>
  </si>
  <si>
    <t>Szociális juttatások</t>
  </si>
  <si>
    <t>Önkormányzatok és társulások általános végrehajtó igazgatási tevékenysége és építmény üzemeltetés</t>
  </si>
  <si>
    <t>EU-s pályázatok</t>
  </si>
  <si>
    <t>Közterülethasználat</t>
  </si>
  <si>
    <t>Építményüzemeltetés</t>
  </si>
  <si>
    <t>3.6.</t>
  </si>
  <si>
    <r>
      <t xml:space="preserve">I/2. Közhatalmi bevételek (B3) </t>
    </r>
    <r>
      <rPr>
        <b/>
        <i/>
        <sz val="9"/>
        <rFont val="Times New Roman"/>
        <family val="1"/>
        <charset val="238"/>
      </rPr>
      <t>[=3.1.+…+3.6.]</t>
    </r>
  </si>
  <si>
    <t>Egyéb közhatalmi bevételek (B36)</t>
  </si>
  <si>
    <t>12. melléklet</t>
  </si>
  <si>
    <t>15. melléklet</t>
  </si>
  <si>
    <t>Adatszolgáltatás 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</si>
  <si>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</si>
  <si>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</si>
  <si>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</si>
  <si>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</si>
  <si>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</si>
  <si>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</si>
  <si>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</si>
  <si>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</si>
  <si>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60-90 nap 
közötti 
állomány</t>
  </si>
  <si>
    <t>90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</si>
  <si>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</si>
  <si>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</si>
  <si>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</si>
  <si>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</si>
  <si>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</si>
  <si>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</si>
  <si>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</si>
  <si>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</si>
  <si>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Intézmény</t>
  </si>
  <si>
    <t>Nyersanyagnorma</t>
  </si>
  <si>
    <t>Áfa nélkül</t>
  </si>
  <si>
    <t>Áfá-val</t>
  </si>
  <si>
    <t>Reggeli</t>
  </si>
  <si>
    <t>Tízórai</t>
  </si>
  <si>
    <t>Ebéd</t>
  </si>
  <si>
    <t>Uzsonna</t>
  </si>
  <si>
    <t>Hivatali Konyha (saját dolgozó, vendég)</t>
  </si>
  <si>
    <t>1. függelék</t>
  </si>
  <si>
    <t>Évek</t>
  </si>
  <si>
    <t>2. függelék</t>
  </si>
  <si>
    <t>Útkarbantartás</t>
  </si>
  <si>
    <t>Kisteherautó, munkagépek üzemeltetése (üzemanyag, karbantartás, javítás)</t>
  </si>
  <si>
    <t>közfoglalkoztatás</t>
  </si>
  <si>
    <t>Általános iskola háromszori étkezés</t>
  </si>
  <si>
    <t>Óvoda háromszori étkezés</t>
  </si>
  <si>
    <t>Bölcsöde négyszeri étkezés</t>
  </si>
  <si>
    <t>Térítési díjak (Áfá-val)</t>
  </si>
  <si>
    <t>hkk</t>
  </si>
  <si>
    <t>1.3.</t>
  </si>
  <si>
    <t>1.4.</t>
  </si>
  <si>
    <t>1.5.</t>
  </si>
  <si>
    <t>1.6.</t>
  </si>
  <si>
    <t>1.7.</t>
  </si>
  <si>
    <t>1.8.</t>
  </si>
  <si>
    <t>Dr. Szegő Imre Idősek és Mozgásfogyatékosok Otthona, Fehér Hárs Idősek Otthona, Gondozási Központ</t>
  </si>
  <si>
    <t>Önkormányzati kiegészítések feladatonként</t>
  </si>
  <si>
    <t xml:space="preserve">J e g y z é k </t>
  </si>
  <si>
    <t>Működési célú bevételek és kiadások mérlege (önkormányzati összesen)</t>
  </si>
  <si>
    <t>Felhalmozási célú bevételek és kiadások mérlege (önkormányzati összesen)</t>
  </si>
  <si>
    <t>Európai uniós támogatással megvalósuló projektek bevételei, kiadásai, hozzájárulások</t>
  </si>
  <si>
    <t>Az önkormányzat adósságot keletkeztető ügyletekből és kezességvállalásokból fennálló kötelezettségei, fejlesztési céljai, fizetési kötelezettség megállapításához saját bevételei részletezése</t>
  </si>
  <si>
    <t>8. melléklet</t>
  </si>
  <si>
    <t>Az önkormányzat bevételi és kiadási előirányzatai feladatonként</t>
  </si>
  <si>
    <t>Önkormányzati kiegészítés feladatonként</t>
  </si>
  <si>
    <t>16. melléklet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</si>
  <si>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</si>
  <si>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</si>
  <si>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</si>
  <si>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</si>
  <si>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r>
      <t>Saját bevételek (1.+...+6.)</t>
    </r>
    <r>
      <rPr>
        <b/>
        <vertAlign val="superscript"/>
        <sz val="9"/>
        <rFont val="Times New Roman CE"/>
        <charset val="238"/>
      </rPr>
      <t>2</t>
    </r>
  </si>
  <si>
    <r>
      <t>Saját bevételek (7. sor) 50%-a</t>
    </r>
    <r>
      <rPr>
        <b/>
        <vertAlign val="superscript"/>
        <sz val="9"/>
        <rFont val="Times New Roman CE"/>
        <charset val="238"/>
      </rPr>
      <t>2</t>
    </r>
  </si>
  <si>
    <t>Saját bevételek (7. sor) 50%-a</t>
  </si>
  <si>
    <t>Saját bevételek (1.+...+6.)</t>
  </si>
  <si>
    <t>Halasztott fizetés, részletfizetés</t>
  </si>
  <si>
    <t>Visszavásárlási kötelezettség kikötésével megkötött adásvételi szerződés eladói félként történő megkötése a visszavásárlásig, és a kikötött visszavásárlási ár</t>
  </si>
  <si>
    <t>Hitelintézetek által, származékos műveletek különbözeteként az Államadósság Kezelő Központ Zrt.-nél elhelyezett fedezeti betétek, és azok összege</t>
  </si>
  <si>
    <r>
      <t>Előző év(ek)ben keletkezett tárgyévet terhelő fizetési kötelezettség</t>
    </r>
    <r>
      <rPr>
        <b/>
        <vertAlign val="superscript"/>
        <sz val="9"/>
        <rFont val="Times New Roman CE"/>
        <charset val="238"/>
      </rPr>
      <t>3</t>
    </r>
    <r>
      <rPr>
        <b/>
        <sz val="9"/>
        <rFont val="Times New Roman CE"/>
        <charset val="238"/>
      </rPr>
      <t xml:space="preserve"> (10.+...+18.)</t>
    </r>
  </si>
  <si>
    <r>
      <t>Tárgyévben keletkezett, illetve keletkező, tárgyévet terhelő fizetési kötelezettség</t>
    </r>
    <r>
      <rPr>
        <b/>
        <vertAlign val="superscript"/>
        <sz val="9"/>
        <rFont val="Times New Roman CE"/>
        <charset val="238"/>
      </rPr>
      <t xml:space="preserve">3 </t>
    </r>
    <r>
      <rPr>
        <b/>
        <sz val="9"/>
        <rFont val="Times New Roman CE"/>
        <charset val="238"/>
      </rPr>
      <t>(20.+...+28.)</t>
    </r>
  </si>
  <si>
    <t>Fizetési kötelezettség összesen (9.+19.)</t>
  </si>
  <si>
    <t>Fizetési kötelezettséggel csökkentett saját bevétel (8.-29.)</t>
  </si>
  <si>
    <t>Előző év(ek)ben keletkezett tárgyévet terhelő fizetési kötelezettség (10.+...+18.)</t>
  </si>
  <si>
    <t>Tárgyévben keletkezett, illetve keletkező, tárgyévet terhelő fizetési kötelezettség (20.+...+28.)</t>
  </si>
  <si>
    <t>Országos és helyi nemzetiségi önkormányzatok igazgatási tevékenysége</t>
  </si>
  <si>
    <t>HEVES VÁROSI MEZEI ŐRSZOLGÁLAT</t>
  </si>
  <si>
    <t>Heves Városi Mezei Őrszolgálat kötelező feladatok</t>
  </si>
  <si>
    <t>Heves Városi Mezei Őrszolgálat önként vállalt feladatok</t>
  </si>
  <si>
    <t>Heves Városi Mezei Őrszolgálat összesen</t>
  </si>
  <si>
    <t>Heves Városi Mezei Őrszolgálat beruházásai összesen:</t>
  </si>
  <si>
    <t>Heves Városi Mezei Őrszolgálat beruházásai</t>
  </si>
  <si>
    <t>Heves Városi Mezei Őrszolgálat egyéb felhalmozási célú kiadásai</t>
  </si>
  <si>
    <t>Heves Városi Mezei Őrszolgálat egyéb felhalmozási célú kiadásai összesen:</t>
  </si>
  <si>
    <t>1.5. melléklet</t>
  </si>
  <si>
    <t>HEVESI KÖZÖS ÖNKORMÁNYZATI HIVATAL</t>
  </si>
  <si>
    <t>Hevesi Közös Önkormányzati Hivatal kötelező feladatok</t>
  </si>
  <si>
    <t>Hevesi Közös Önkormányzati Hivatal önként vállalt feladatok</t>
  </si>
  <si>
    <t>Hevesi Közös Önkormányzati Hivatal állami (államigazgatási) feladatok</t>
  </si>
  <si>
    <t>Hevesi Közös Önkormányzati Hivatal összesen</t>
  </si>
  <si>
    <t>Hevesi Közös Önkormányzati Hivatal beruházásai</t>
  </si>
  <si>
    <t>Hevesi Közös Önkormányzati Hivatal beruházásai összesen:</t>
  </si>
  <si>
    <t>Hevesi Közös Önkormányzati Hivatal felújításai</t>
  </si>
  <si>
    <t>Hevesi Közös Önkormányzati Hivatal felújításai összesen:</t>
  </si>
  <si>
    <t>Hevesi Közös Önkormányzati Hivatal egyéb felhalmozási célú kiadásai</t>
  </si>
  <si>
    <t>Hevesi Közös Önkormányzati Hivatal egyéb felhalmozási célú kiadásai összesen:</t>
  </si>
  <si>
    <t>Megyei önkormányzatok rendkívüli támogatása</t>
  </si>
  <si>
    <t>Közművelődési érdekeltségnövelő támogatás, muzeális intézmények szakmai támogatása</t>
  </si>
  <si>
    <t>Közművelődési érdekeltségnövelő támogatás</t>
  </si>
  <si>
    <t>Muzeális intézmények szakmai támogatása (Kubinyi Ágoston Program)</t>
  </si>
  <si>
    <r>
      <t>A HELYI ÖNKORMÁNYZATOK ÁLTALÁNOS MŰKÖDÉSÉNEK ÉS ÁGAZATI FELADATAINAK TÁMOGATÁSA</t>
    </r>
    <r>
      <rPr>
        <b/>
        <i/>
        <sz val="9"/>
        <rFont val="Times New Roman CE"/>
        <charset val="238"/>
      </rPr>
      <t xml:space="preserve"> [I.+...+V.]</t>
    </r>
  </si>
  <si>
    <t>Vis maior támogatás</t>
  </si>
  <si>
    <t>M</t>
  </si>
  <si>
    <t>N</t>
  </si>
  <si>
    <t>O</t>
  </si>
  <si>
    <t>Heves Városi Mezei Őrszolgálat állami (államigazgatási) feladatok</t>
  </si>
  <si>
    <t>Hevesi Kulturális Központ felújításai</t>
  </si>
  <si>
    <t>Heves Városi Mezei Őrszolgálat felújításai</t>
  </si>
  <si>
    <t>Működési célú hiteltörlesztés</t>
  </si>
  <si>
    <t>Felhalmozási célú hiteltörlesztés</t>
  </si>
  <si>
    <t>KÖLTSÉGVETÉSI KIADÁSOK ÖSSZESEN:</t>
  </si>
  <si>
    <t>Egyéb önállóan vállalt közös önkormányzati hivatali feladatok</t>
  </si>
  <si>
    <t>Működési célú költségvetési támogatások és kiegészítő támogatások (B115)</t>
  </si>
  <si>
    <t>Elszámolásból származó bevételek (B116)</t>
  </si>
  <si>
    <t>4.11.</t>
  </si>
  <si>
    <t>Biztosító által fizetett kártérítés (B410)</t>
  </si>
  <si>
    <t>Egyéb működési bevételek (B411)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</si>
  <si>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</si>
  <si>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</si>
  <si>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(B64)</t>
  </si>
  <si>
    <t>Egyéb működési célú átvett pénzeszközök (B65)</t>
  </si>
  <si>
    <t>9.5.</t>
  </si>
  <si>
    <t>Felhalmozási célú visszatérítendő támogatások, kölcsönök visszatérülése államháztartáson kívülről (B74)</t>
  </si>
  <si>
    <t>Egyéb felhalmozási célú átvett pénzeszközök (B75)</t>
  </si>
  <si>
    <r>
      <t xml:space="preserve">II/3.Felhalmozási célú átvett pénzeszközök (B7) </t>
    </r>
    <r>
      <rPr>
        <b/>
        <i/>
        <sz val="9"/>
        <rFont val="Times New Roman"/>
        <family val="1"/>
        <charset val="238"/>
      </rPr>
      <t>[9.1.+…+9.5.]</t>
    </r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</si>
  <si>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</si>
  <si>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</si>
  <si>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Hitel-, kölcsönfelvétel pénzügyi vállalkozástól (B811)</t>
  </si>
  <si>
    <r>
      <t xml:space="preserve">Belföldi finanszírozás bevételei (B81) </t>
    </r>
    <r>
      <rPr>
        <i/>
        <sz val="9"/>
        <rFont val="Times New Roman"/>
        <family val="1"/>
        <charset val="238"/>
      </rPr>
      <t>[=12.1.1.+…+12.1.9.]</t>
    </r>
  </si>
  <si>
    <t>12.1.9.</t>
  </si>
  <si>
    <t>Tulajdonosi kölcsönök bevételei (B819)</t>
  </si>
  <si>
    <t>12.4.</t>
  </si>
  <si>
    <t>Váltóbevételek (B84)</t>
  </si>
  <si>
    <r>
      <t xml:space="preserve">III/1. Működési célú finanszírozási bevételek (B81) </t>
    </r>
    <r>
      <rPr>
        <b/>
        <i/>
        <sz val="9"/>
        <rFont val="Times New Roman"/>
        <family val="1"/>
        <charset val="238"/>
      </rPr>
      <t>[=12.1.+…+12.4.]</t>
    </r>
  </si>
  <si>
    <t>14.1.9.</t>
  </si>
  <si>
    <r>
      <t xml:space="preserve">IV/1. Felhalmozási célú finanszírozási bevételek (B81) </t>
    </r>
    <r>
      <rPr>
        <b/>
        <i/>
        <sz val="9"/>
        <rFont val="Times New Roman"/>
        <family val="1"/>
        <charset val="238"/>
      </rPr>
      <t>[=14.1.+…+14.4.]</t>
    </r>
  </si>
  <si>
    <t>14.4.</t>
  </si>
  <si>
    <t>6.13.</t>
  </si>
  <si>
    <t>6.13.1.</t>
  </si>
  <si>
    <t>6.13.2.</t>
  </si>
  <si>
    <r>
      <t xml:space="preserve">I/5. Egyéb működési célú kiadások (K5) </t>
    </r>
    <r>
      <rPr>
        <b/>
        <i/>
        <sz val="9"/>
        <rFont val="Times New Roman"/>
        <family val="1"/>
        <charset val="238"/>
      </rPr>
      <t>[=6.1.+…+6.13.]</t>
    </r>
  </si>
  <si>
    <t>Működési célú támogatások az Európai Uniónak (K511)</t>
  </si>
  <si>
    <t>Egyéb működési célú támogatások államháztartáson kívülre (K512)</t>
  </si>
  <si>
    <r>
      <t>Tartalékok (K513)</t>
    </r>
    <r>
      <rPr>
        <i/>
        <sz val="9"/>
        <rFont val="Times New Roman"/>
        <family val="1"/>
        <charset val="238"/>
      </rPr>
      <t xml:space="preserve"> [=6.13.1.+6.13.2.]</t>
    </r>
  </si>
  <si>
    <t>Általános tartalék (K513)</t>
  </si>
  <si>
    <t>Céltartalék (K513)</t>
  </si>
  <si>
    <t>- ebből: Működési célú fejezeti kezelésű előirányzatok EU-s programok és azok hazai társfinanszírozása (K506)</t>
  </si>
  <si>
    <t>8.a.</t>
  </si>
  <si>
    <t>10.9.</t>
  </si>
  <si>
    <r>
      <t xml:space="preserve">II/3. Egyéb felhalmozási célú kiadások (K8) </t>
    </r>
    <r>
      <rPr>
        <b/>
        <i/>
        <sz val="9"/>
        <rFont val="Times New Roman"/>
        <family val="1"/>
        <charset val="238"/>
      </rPr>
      <t>[=10.1.+…+10.9.]</t>
    </r>
  </si>
  <si>
    <t>Felhalmozási célú támogatások az Európai Uniónak (K88)</t>
  </si>
  <si>
    <t>Egyéb felhalmozási célú támogatások államháztartáson kívülre  (K89)</t>
  </si>
  <si>
    <t>15.1.9.</t>
  </si>
  <si>
    <r>
      <t xml:space="preserve">IV/1. Felhalmozási célú finanszírozási kiadások (K91) </t>
    </r>
    <r>
      <rPr>
        <b/>
        <i/>
        <sz val="9"/>
        <rFont val="Times New Roman"/>
        <family val="1"/>
        <charset val="238"/>
      </rPr>
      <t>[=15.1.+…+15.4.]</t>
    </r>
  </si>
  <si>
    <t>Tulajdonosi kölcsönök kiadásai (K919)</t>
  </si>
  <si>
    <t>Váltókiadások (K94)</t>
  </si>
  <si>
    <t>15.4.</t>
  </si>
  <si>
    <t>13.4.</t>
  </si>
  <si>
    <r>
      <t xml:space="preserve">III/1. Működési célú finanszírozási kiadások (K91) </t>
    </r>
    <r>
      <rPr>
        <b/>
        <i/>
        <sz val="9"/>
        <rFont val="Times New Roman"/>
        <family val="1"/>
        <charset val="238"/>
      </rPr>
      <t>[=12.1.+…+12.4.]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</si>
  <si>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[=13.1.1.+…+13.1.9.]</t>
    </r>
  </si>
  <si>
    <t>8.1.9.</t>
  </si>
  <si>
    <r>
      <t xml:space="preserve">Belföldi finanszírozás bevételei (B81) </t>
    </r>
    <r>
      <rPr>
        <i/>
        <sz val="9"/>
        <rFont val="Times New Roman"/>
        <family val="1"/>
        <charset val="238"/>
      </rPr>
      <t>[=8.1.1.+…+8.1.9.]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</si>
  <si>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[=8.1.1.+…+8.1.9.]</t>
    </r>
  </si>
  <si>
    <r>
      <t xml:space="preserve">Működési célú finanszírozási kiadások (K91) </t>
    </r>
    <r>
      <rPr>
        <i/>
        <sz val="9"/>
        <rFont val="Times New Roman"/>
        <family val="1"/>
        <charset val="238"/>
      </rPr>
      <t>[=8.1.+…+8.4.]</t>
    </r>
  </si>
  <si>
    <r>
      <t xml:space="preserve">Működési célú finanszírozási bevételek (B81) </t>
    </r>
    <r>
      <rPr>
        <i/>
        <sz val="9"/>
        <rFont val="Times New Roman"/>
        <family val="1"/>
        <charset val="238"/>
      </rPr>
      <t>[=8.1.+…+8.4.]</t>
    </r>
  </si>
  <si>
    <r>
      <t xml:space="preserve">Felhalmozási célú finanszírozási bevételek (B81) </t>
    </r>
    <r>
      <rPr>
        <i/>
        <sz val="9"/>
        <rFont val="Times New Roman"/>
        <family val="1"/>
        <charset val="238"/>
      </rPr>
      <t>[=14.1.+…+14.3.]</t>
    </r>
  </si>
  <si>
    <r>
      <t xml:space="preserve">Felhalmozási célú finanszírozási kiadások (K91) </t>
    </r>
    <r>
      <rPr>
        <i/>
        <sz val="9"/>
        <rFont val="Times New Roman"/>
        <family val="1"/>
        <charset val="238"/>
      </rPr>
      <t>[=15.1.+…+15.4.]</t>
    </r>
  </si>
  <si>
    <t>3.7.</t>
  </si>
  <si>
    <t>3.8.</t>
  </si>
  <si>
    <t>3.9.</t>
  </si>
  <si>
    <t>3.10.</t>
  </si>
  <si>
    <t>3.11.</t>
  </si>
  <si>
    <t>3.12.</t>
  </si>
  <si>
    <t>TERVEZETT BERUHÁZÁSOK, FELÚJÍTÁSOK, PÁLYÁZATOK</t>
  </si>
  <si>
    <t>Felhalmozási célú  fejezeti kezelésű előirányzatok EU-s programok és azok hazai társfinanszírozása</t>
  </si>
  <si>
    <t>Felhalmozási célú  fejezeti kezelésű előirányzatok EU-s programok és azok hazai társfinanszírozása összesen:</t>
  </si>
  <si>
    <t>Adónem</t>
  </si>
  <si>
    <t>Decemer</t>
  </si>
  <si>
    <t>Iparüzési</t>
  </si>
  <si>
    <t>Mag.sz. komm.</t>
  </si>
  <si>
    <t>Építmény</t>
  </si>
  <si>
    <t>Gépjármű+egyéb</t>
  </si>
  <si>
    <t>Idegenforg.</t>
  </si>
  <si>
    <t>Pótlék, bírság</t>
  </si>
  <si>
    <t>Helyi adóból és a települési adóból származó bevétel</t>
  </si>
  <si>
    <t>Kezesség-, illetve garanciavállalással kapcsolatos megtérülés</t>
  </si>
  <si>
    <t>Kezesség-, illetve garanciavállalásból eredő fizetési kötelezettség</t>
  </si>
  <si>
    <r>
      <rPr>
        <vertAlign val="superscript"/>
        <sz val="9"/>
        <rFont val="Times New Roman CE"/>
        <charset val="238"/>
      </rPr>
      <t>2</t>
    </r>
    <r>
      <rPr>
        <sz val="9"/>
        <rFont val="Times New Roman CE"/>
        <charset val="238"/>
      </rPr>
      <t xml:space="preserve"> A tárgyévet követő 3. évtől a futamidő végéig változatlan összeggel.</t>
    </r>
  </si>
  <si>
    <r>
      <t xml:space="preserve">I/3. Működési bevételek (B4) </t>
    </r>
    <r>
      <rPr>
        <b/>
        <i/>
        <sz val="9"/>
        <rFont val="Times New Roman"/>
        <family val="1"/>
        <charset val="238"/>
      </rPr>
      <t>[=4.1.+…+4.11.]</t>
    </r>
  </si>
  <si>
    <r>
      <t xml:space="preserve">I/4. Működési célú átvett pénzeszközök (B6) </t>
    </r>
    <r>
      <rPr>
        <b/>
        <i/>
        <sz val="9"/>
        <rFont val="Times New Roman"/>
        <family val="1"/>
        <charset val="238"/>
      </rPr>
      <t>[=5.1.+…+5.5.]</t>
    </r>
  </si>
  <si>
    <r>
      <t xml:space="preserve">Belföldi finanszírozás bevételei (B811) </t>
    </r>
    <r>
      <rPr>
        <i/>
        <sz val="9"/>
        <rFont val="Times New Roman"/>
        <family val="1"/>
        <charset val="238"/>
      </rPr>
      <t>[=14.1.1.+…+14.1.9.]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</si>
  <si>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[=15.1.1.+…+15.1.9.]</t>
    </r>
  </si>
  <si>
    <r>
      <t>VIS MAIOR TÁMOGATÁS</t>
    </r>
    <r>
      <rPr>
        <b/>
        <i/>
        <sz val="9"/>
        <rFont val="Times New Roman CE"/>
        <charset val="238"/>
      </rPr>
      <t xml:space="preserve"> [=1.]</t>
    </r>
  </si>
  <si>
    <r>
      <t>ÖNKORMÁNYZATI TÁMOGATÁSOK MINDÖSSZESEN:</t>
    </r>
    <r>
      <rPr>
        <b/>
        <i/>
        <sz val="9"/>
        <rFont val="Times New Roman CE"/>
        <charset val="238"/>
      </rPr>
      <t xml:space="preserve"> [A+B]</t>
    </r>
  </si>
  <si>
    <t>vár</t>
  </si>
  <si>
    <t>járulék</t>
  </si>
  <si>
    <t>bér</t>
  </si>
  <si>
    <t>Forintban !</t>
  </si>
  <si>
    <t>Kamatbevételek és más nyereségjellegű bevételek (B408)</t>
  </si>
  <si>
    <t>2026.</t>
  </si>
  <si>
    <t>HEVA Kft.</t>
  </si>
  <si>
    <t>Megyei önkormányzatok feladatainak támogatása</t>
  </si>
  <si>
    <t>Határátkelőhelyek fenntartásának támogatása</t>
  </si>
  <si>
    <t>A települési önkormányzatok szociális feladatainak egyéb támogatása</t>
  </si>
  <si>
    <t>Család- és gyermekjóléti szolgálat</t>
  </si>
  <si>
    <t>Család- és gyermekjóléti központ</t>
  </si>
  <si>
    <t>A települési önkormányzatok által biztosított egyes szociális szakosított ellátások, valamint a gyermekek átmeneti gondozásával kapcsolatos feladatok támogatása</t>
  </si>
  <si>
    <t>Az intézményi gyermekétkeztetés kapcsán az étkeztetési feladatot ellátók után járó bértámogatás</t>
  </si>
  <si>
    <t>Az intézményi gyermekétkeztetés üzemeltetési támogatása</t>
  </si>
  <si>
    <t>A települési önkormányzatok könyvtári célú érdekeltségnövelő támogatása</t>
  </si>
  <si>
    <t>BESZÁMÍTÁS, KIEGÉSZÍTÉS</t>
  </si>
  <si>
    <t>I.1.c) - V. Egyéb önkormányzati feladatok támogatása beszámítás, kiegészítés után</t>
  </si>
  <si>
    <t>Belterületi utak, járdák, hidak felújítása</t>
  </si>
  <si>
    <t>Járásszékhely múzeumok szakmai támogatása</t>
  </si>
  <si>
    <t>Önkormányzati étkeztetési fejlesztések támogatása</t>
  </si>
  <si>
    <t>Önkormányzatok rendkívüli támogatása</t>
  </si>
  <si>
    <t>Önkormányzati elszámolások</t>
  </si>
  <si>
    <t>Önkormányzatok és társulások igazgatási tevékenysége</t>
  </si>
  <si>
    <t>016030</t>
  </si>
  <si>
    <t>Állampolgársági ügyek</t>
  </si>
  <si>
    <t>Területi általános végrehajtó igazgatási tevékenység</t>
  </si>
  <si>
    <t>016080</t>
  </si>
  <si>
    <t>Kiemelt állami és önkormányzati rendezvények</t>
  </si>
  <si>
    <t>Nemzeti ünnepek programjai</t>
  </si>
  <si>
    <t>018030</t>
  </si>
  <si>
    <t>Támogatási célú finanszírozási műveletek</t>
  </si>
  <si>
    <t>Állat-egészségügyi ellátás</t>
  </si>
  <si>
    <t>Építésügy igazgatása</t>
  </si>
  <si>
    <t>044310</t>
  </si>
  <si>
    <t>Települési hulladék vegyes (ömlesztett) begyűjtése, szállítása, átrakása
begyűjtése, szállítása, átrakása</t>
  </si>
  <si>
    <t>072111</t>
  </si>
  <si>
    <t>Háziorvosi alapellátás</t>
  </si>
  <si>
    <t>Gyógyító-megelőző ellátások finanszírozása</t>
  </si>
  <si>
    <t>072112</t>
  </si>
  <si>
    <t>Háziorvosi ügyeleti ellátás</t>
  </si>
  <si>
    <t>Fogorvosi alapellátás</t>
  </si>
  <si>
    <t>Család és nővédelmi egészségügyi gondozás</t>
  </si>
  <si>
    <t>072311</t>
  </si>
  <si>
    <t>074031</t>
  </si>
  <si>
    <t>Család- és nővédelmi egészségügyi gondozás</t>
  </si>
  <si>
    <t>074032</t>
  </si>
  <si>
    <t>Ifjúság-egészségügyi gondozás</t>
  </si>
  <si>
    <t>081043</t>
  </si>
  <si>
    <t>Iskolai, diáksport-tevékenység és támogatása</t>
  </si>
  <si>
    <t>Szabadidős park, fürdő és strandszolgáltatás</t>
  </si>
  <si>
    <t>104042</t>
  </si>
  <si>
    <t>Család- és gyermekjóléti szolgáltatások</t>
  </si>
  <si>
    <t>Gyermekjóléti szolgáltatás</t>
  </si>
  <si>
    <t>Családsegítés</t>
  </si>
  <si>
    <t>Család és gyermekjóléti központ</t>
  </si>
  <si>
    <t>104043</t>
  </si>
  <si>
    <t>Intézményen kívüli gyermekétkeztetés</t>
  </si>
  <si>
    <t>104037</t>
  </si>
  <si>
    <t>Települési támogatás (gyógyszerkiadási támogatás)</t>
  </si>
  <si>
    <t>Települési támogatás (lakásfenntartási támogatás)</t>
  </si>
  <si>
    <t>Települési támogatás (temetési segély)</t>
  </si>
  <si>
    <t>Települési támogatás (egyéb rendkívüli támogatás)</t>
  </si>
  <si>
    <t>086030</t>
  </si>
  <si>
    <t>Nemzetközi kulturális együttműködés</t>
  </si>
  <si>
    <t>104060</t>
  </si>
  <si>
    <t>Hátrányos helyzetű kistérségek speciális komplex felzárkóztató programjai (TÁMOP Komplex)</t>
  </si>
  <si>
    <t>A gyermekek, fiatalok és családok életminőségét javító programok</t>
  </si>
  <si>
    <t>Építményüzemeltetés (intézmények)</t>
  </si>
  <si>
    <t>Kieg</t>
  </si>
  <si>
    <t>kieg</t>
  </si>
  <si>
    <t>Pmaradvány</t>
  </si>
  <si>
    <t>Veszélyes fák kivágása</t>
  </si>
  <si>
    <t>Gesztenyefák permetezése</t>
  </si>
  <si>
    <t>dologi</t>
  </si>
  <si>
    <t>út</t>
  </si>
  <si>
    <t>közv</t>
  </si>
  <si>
    <t>víz</t>
  </si>
  <si>
    <t>tem</t>
  </si>
  <si>
    <t>zöld</t>
  </si>
  <si>
    <t>á eü</t>
  </si>
  <si>
    <t>közf</t>
  </si>
  <si>
    <t>ig</t>
  </si>
  <si>
    <t>sportlét</t>
  </si>
  <si>
    <t>Az önkormányzati vagyonnal való gazdálkodással kapcsolatos feladatok</t>
  </si>
  <si>
    <t>106010</t>
  </si>
  <si>
    <t>Lakóingatlan bérbeadása, üzemeltetése (nem szociális célú)</t>
  </si>
  <si>
    <t>Lakóingatlan szociális célú bérbeadása, üzemeltetése</t>
  </si>
  <si>
    <t>nl ing üz</t>
  </si>
  <si>
    <t>ÁFA fizetendő!</t>
  </si>
  <si>
    <t>BER</t>
  </si>
  <si>
    <t>FEL</t>
  </si>
  <si>
    <t>Dél-Hevesi Kistérségi Társulás</t>
  </si>
  <si>
    <t>Heves Média Kft.</t>
  </si>
  <si>
    <t>Adósságrendezés során be nem jelentett hitelezői igények</t>
  </si>
  <si>
    <t>2011-2012.</t>
  </si>
  <si>
    <t>Fin</t>
  </si>
  <si>
    <t>3.13.</t>
  </si>
  <si>
    <t>ber</t>
  </si>
  <si>
    <t>3.14.</t>
  </si>
  <si>
    <t>2.7.</t>
  </si>
  <si>
    <t>HEVES VÁROS GYERMEKJÓLÉTI KÖZPONTJA ÉS CSALÁDSEGÍTŐ SZOLGÁLATA</t>
  </si>
  <si>
    <t>1.6. melléklet</t>
  </si>
  <si>
    <t>031030</t>
  </si>
  <si>
    <t>Közterület rendjének fenntartása</t>
  </si>
  <si>
    <t>Kormányzati és önkormányzati intézmények ellátó, kisegítő szolgálatai</t>
  </si>
  <si>
    <t>091110</t>
  </si>
  <si>
    <t>Óvodai nevelés, ellátás szakmai feladatai</t>
  </si>
  <si>
    <t>Óvodai nevelés</t>
  </si>
  <si>
    <t>096015</t>
  </si>
  <si>
    <t>Gyermekétkeztetés köznevelési intézményben</t>
  </si>
  <si>
    <t>104031</t>
  </si>
  <si>
    <t>104035</t>
  </si>
  <si>
    <t>Gyermekétkeztetés bölcsődében, fogyatékosok nappali intézményében</t>
  </si>
  <si>
    <t>Gyermekétkeztetés bölcsődésben és fogyatékosok nappali intézményében</t>
  </si>
  <si>
    <t>Óvodai intézményi étkeztetés</t>
  </si>
  <si>
    <t>Iskolai intézményi étkeztetés</t>
  </si>
  <si>
    <t>082042</t>
  </si>
  <si>
    <t>Könyvtári állomány gyarapítása, nyilvántartása</t>
  </si>
  <si>
    <t>Könyvtári szolgáltatások</t>
  </si>
  <si>
    <t>082044</t>
  </si>
  <si>
    <t>Múzeumi gyűjteményi tevékenység</t>
  </si>
  <si>
    <t>082061</t>
  </si>
  <si>
    <t>082091</t>
  </si>
  <si>
    <t>Közművelődés - közösségi és társadalmi részvétel fejlesztése</t>
  </si>
  <si>
    <t>Múzeumi állandó kiállítási tevékenység</t>
  </si>
  <si>
    <t>Közművelődési intézmények, közösségi színterek működtetése</t>
  </si>
  <si>
    <t>Intézményen kívüli gyermekétkeztetés (RGYK)</t>
  </si>
  <si>
    <t>Heves Város Gyermekjóléti Központja és Családsegítő Szolgálata kötelező feladatok</t>
  </si>
  <si>
    <t>Heves Város Gyermekjóléti Központja és Családsegítő Szolgálata önként vállalt feladatok</t>
  </si>
  <si>
    <t>Heves Város Gyermekjóléti Központja és Családsegítő Szolgálata állami (államigazgatási) feladatok</t>
  </si>
  <si>
    <t>Heves Város Gyermekjóléti Központja és Családsegítő Szolgálata összesen</t>
  </si>
  <si>
    <r>
      <rPr>
        <vertAlign val="superscript"/>
        <sz val="9"/>
        <rFont val="Times New Roman CE"/>
        <charset val="238"/>
      </rPr>
      <t>3</t>
    </r>
    <r>
      <rPr>
        <sz val="9"/>
        <rFont val="Times New Roman CE"/>
        <charset val="238"/>
      </rPr>
      <t xml:space="preserve"> Az adósságot keletkeztető ügyletekből eredő fizetési kötelezettségek, amelyekbe nem számítható be a naptári éven belül lejáró futamidejű adósságot keletkeztető ügylet, az európai uniós vagy nemzetközi szervezettől az önkormányzat által elnyert támogatás előfinanszírozásának biztosítására szolgáló adósságot keletkeztető ügyletből, a víziközmű-társulattól annak megszűnése miatt átvett hitelből és az adósságrendezési eljárás során a hitelezői egyezség megkötéséhez igénybe vett reorganizációs hitelből származó fizetési kötelezettségek összege, de beleszámítandó a kezesség-, illetve garanciavállalásból eredő, jogosult által érvényesített fizetési kötelezettség összege.</t>
    </r>
  </si>
  <si>
    <t>Telekadó</t>
  </si>
  <si>
    <t>2027.</t>
  </si>
  <si>
    <t>TOP-3.1.1-15-HE1-2016-00006</t>
  </si>
  <si>
    <t>Kerékpárút fejlesztése Heves városában</t>
  </si>
  <si>
    <t>Kerékpáros fejlesztés Boconád, Heves és Tarnaméra községekben</t>
  </si>
  <si>
    <t>TOP-3.1.1-15-HE1-2016-00007</t>
  </si>
  <si>
    <t>(TÁMOGATÁSI INTENZÍTÁS 100%; MEGVALÓSÍTÁS FOLYAMATBAN)</t>
  </si>
  <si>
    <t>TOP-3.1.1-15-HE1-2016-00006 Kerékpárút fejlesztése Heves városában</t>
  </si>
  <si>
    <t>TOP-3.1.1-15-HE1-2016-00007 Kerékpáros fejlesztés Boconád, Heves és Tarnaméra községekben</t>
  </si>
  <si>
    <t>Önkormányzati hivatal működésének támogatása - elismert hivatali létszám alapján</t>
  </si>
  <si>
    <t xml:space="preserve"> Település-üzemeltetéshez kapcsolódó feladatellátás támogatása</t>
  </si>
  <si>
    <t>da)</t>
  </si>
  <si>
    <t>db)</t>
  </si>
  <si>
    <t>Szociális segítés</t>
  </si>
  <si>
    <t>Személyi gondozás</t>
  </si>
  <si>
    <t>Családi bölcsőde</t>
  </si>
  <si>
    <t>Támogató szolgáltatás</t>
  </si>
  <si>
    <t>m)</t>
  </si>
  <si>
    <t>Közösségi alapellátások</t>
  </si>
  <si>
    <t>A rászoruló gyermekek szünidei étkeztetésének támogatása</t>
  </si>
  <si>
    <t xml:space="preserve">Megyei hatókörű városi múzeumok feladatainak támogatása </t>
  </si>
  <si>
    <t xml:space="preserve">Megyeszékhely megyei jogú városok és Szentendre Város Önkormányzata közművelődési feladatainak támogatása </t>
  </si>
  <si>
    <t>Települési önkormányzatok nyilvános könyvtári és a közművelődési feladatainak támogatása</t>
  </si>
  <si>
    <t xml:space="preserve">Budapest Főváros Önkormányzata múzeumi, könyvtári és közművelődési feladatainak támogatása </t>
  </si>
  <si>
    <t>Fővárosi kerületi önkormányzatok közművelődési feladatainak támogatása</t>
  </si>
  <si>
    <t>A kéményseprő-ipari közszolgáltatás helyi önkormányzat általi ellátásának támogatása</t>
  </si>
  <si>
    <t>Pécs Megyei Jogú Város Önkormányzat kulturális feladatainak támogatása</t>
  </si>
  <si>
    <t>A nem közművel összegyűjtött háztartási szennyvíz ideiglenes begyűjtésére kijelölt közérdekű közszolgáltató meg nem térülő költségeinek támogatása</t>
  </si>
  <si>
    <t>A települési önkormányzatok szociális célú tüzelőanyag vásárlásához kapcsolódó támogatása</t>
  </si>
  <si>
    <t>Pannon Park beruházási projekt támogatása</t>
  </si>
  <si>
    <t>Veszprém Aréna építési beruházásával összefüggő tőke- és kamattörlesztő-részletek átvállalásának támogatása</t>
  </si>
  <si>
    <t>Normafa Park kiemelt beruházás támogatása</t>
  </si>
  <si>
    <t>Ingatlanvásárlás Heves Városért Közalapítványtól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</si>
  <si>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</si>
  <si>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</si>
  <si>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</si>
  <si>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</si>
  <si>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</si>
  <si>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</si>
  <si>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</si>
  <si>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</si>
  <si>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</si>
  <si>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</si>
  <si>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P</t>
  </si>
  <si>
    <t>Q</t>
  </si>
  <si>
    <t>R</t>
  </si>
  <si>
    <t>Közfoglalkoztatás, szociális juttatások (szociális bérlakás üzemeltetése is)</t>
  </si>
  <si>
    <t>Bölcsödei ellátás</t>
  </si>
  <si>
    <t>Könyvtári szolgáltatások és közművelődési feladatok</t>
  </si>
  <si>
    <t>IX.</t>
  </si>
  <si>
    <t xml:space="preserve"> Működési célú átvett pénzeszközök / működési finanszírozási bevételek</t>
  </si>
  <si>
    <t>Felhalmozási célú átvett pénzeszközök / felhalmozási finanszírozási bevételek</t>
  </si>
  <si>
    <t>Egyéb működési célú kiadások / működési finanszírozási kiadások</t>
  </si>
  <si>
    <t>Egyéb felhalmozási célú kiadások / felhalmozási finanszírozási kiadások</t>
  </si>
  <si>
    <t>Intézményi gyermekétkeztetés</t>
  </si>
  <si>
    <t>Gyermekjóléti szolgáltatás, családsegítés</t>
  </si>
  <si>
    <t>Szoc. Pótl.</t>
  </si>
  <si>
    <t>Bérkomp.</t>
  </si>
  <si>
    <t>Hiv műk Tenk</t>
  </si>
  <si>
    <t>Felnőtt (saját dolgozó, vendég)</t>
  </si>
  <si>
    <t>Könyvtám</t>
  </si>
  <si>
    <t>Bérek (közf., zöldter. Stb.)</t>
  </si>
  <si>
    <t>Ingatlanvásárlás városfejlesztési feladatokhoz</t>
  </si>
  <si>
    <t>Pályázatok előkészítése, megvalósíthatósági tanulmányok, tervek (engedélyes, kiviteli)</t>
  </si>
  <si>
    <t>Rendezési terv felülvizsgálata</t>
  </si>
  <si>
    <t>Eszközbeszerzések (éjjelltátó, hőkamera, földmérő készülék)</t>
  </si>
  <si>
    <t>Kisértékű eszközbeszerzések</t>
  </si>
  <si>
    <t>Büntetésvégrehajtási intézet beruházásához vállalt fejlesztési kötelezettségek</t>
  </si>
  <si>
    <t>Heves Megyei Diák- és Szabadidősport Egyesület</t>
  </si>
  <si>
    <t>Az elmúlt évek szervezeti átalakításai miatt a parkfenntartási feladatokat közvetlenül a Városgondnokság végzi . A felmerülő feladatok jelentős részét közfoglalkoztatottak bevonásával látjuk el.</t>
  </si>
  <si>
    <t>2.8.</t>
  </si>
  <si>
    <t>Rákóczi Szövetség</t>
  </si>
  <si>
    <t xml:space="preserve"> „Beiratkozási Program”</t>
  </si>
  <si>
    <t>Heves Városért Közalapítvány *</t>
  </si>
  <si>
    <t>* ingatlanvásárlás részletfizetése kamataként</t>
  </si>
  <si>
    <t>23=3+…+22</t>
  </si>
  <si>
    <t>2018. ÉVI FELHALMOZÁSI CÉLÚ KIADÁSAI</t>
  </si>
  <si>
    <t>Gyermekek bölcsődében és mini bölcsődében történő ellátása</t>
  </si>
  <si>
    <t>Város-, községgazdálkodási m.n.s. szolgáltatások  (KEHOP-2.2.1)</t>
  </si>
  <si>
    <t>Város-, községgazdálkodási m.n.s. szolgáltatások (KEHOP-2.2.1-15-2015-00024 Solt szennyvíztisztitó telep korszerűsítése, tisztított szennyvíz Duna sodorvonali bevezetésével)</t>
  </si>
  <si>
    <r>
      <t xml:space="preserve"> A HELYI ÖNKORMÁNYZATOK MŰKÖDÉSÉNEK ÁLTALÁNOS TÁMOGATÁSA </t>
    </r>
    <r>
      <rPr>
        <b/>
        <i/>
        <sz val="9"/>
        <rFont val="Times New Roman CE"/>
        <charset val="238"/>
      </rPr>
      <t>[1.+…+6.]</t>
    </r>
  </si>
  <si>
    <t>Polgármesteri illetmény támogatása</t>
  </si>
  <si>
    <t>Kiegészítő támogatás az óvodapedagógusok és a pedagógus szakképzettséggel rendelkező segítők minősítéséből adódó többletkiadásokhoz</t>
  </si>
  <si>
    <t>Óvodai és iskolai szociális segítő tevékenység támogatása</t>
  </si>
  <si>
    <t>n)</t>
  </si>
  <si>
    <t>Bölcsőde, mini bölcsőde támogatása</t>
  </si>
  <si>
    <t>Bölcsődei üzemeltetési támogatás</t>
  </si>
  <si>
    <t>Megyei hatókörű városi könyvtár kistelepülési könyvtári célú kiegészítő támogatása</t>
  </si>
  <si>
    <t>Kulturális illetménypótlék</t>
  </si>
  <si>
    <r>
      <t xml:space="preserve">A TELEPÜLÉSI ÖNKORMÁNYZATOK KULTURÁLIS FELADATAINAK TÁMOGATÁSA </t>
    </r>
    <r>
      <rPr>
        <b/>
        <i/>
        <sz val="9"/>
        <rFont val="Times New Roman CE"/>
        <charset val="238"/>
      </rPr>
      <t>[1.+2.+3.]</t>
    </r>
  </si>
  <si>
    <t>Jó adatszolgáltató önkormányzatok támogatása</t>
  </si>
  <si>
    <r>
      <t>A HELYI ÖNKORMÁNYZATOK KIEGÉSZÍTŐ TÁMOGATÁSAI</t>
    </r>
    <r>
      <rPr>
        <b/>
        <i/>
        <sz val="9"/>
        <rFont val="Times New Roman CE"/>
        <charset val="238"/>
      </rPr>
      <t xml:space="preserve"> [I.+II.+III.]</t>
    </r>
  </si>
  <si>
    <t>Békásmegyeri vásárcsarnok építése</t>
  </si>
  <si>
    <t>Normafa Park történelmi sportterület megvalósításának támogatása</t>
  </si>
  <si>
    <t>A közterület használati díjak 2017. évben nem emelkedtek, ennek megfelelően az elmúlt évi bevételekkel terveztünk.</t>
  </si>
  <si>
    <t>KÖFOP-1.2.1-VEKOP-16-2017-00715</t>
  </si>
  <si>
    <t>Heves Város Önkormányzata ASP központhoz való csatlakozása</t>
  </si>
  <si>
    <t>5. EU-s projekt azonosítója, neve:</t>
  </si>
  <si>
    <t>6. EU-s projekt azonosítója, neve:</t>
  </si>
  <si>
    <t xml:space="preserve"> TOP-1.2.1-15-HE1-2016-00005</t>
  </si>
  <si>
    <t xml:space="preserve">a Halász-kúria turisztikai fejlesztése Heves Városban </t>
  </si>
  <si>
    <t>7. EU-s projekt azonosítója, neve:</t>
  </si>
  <si>
    <t xml:space="preserve"> TOP-1.4.1-15-HE1-2016-00018</t>
  </si>
  <si>
    <t>8. EU-s projekt azonosítója, neve:</t>
  </si>
  <si>
    <t xml:space="preserve"> TOP-2.1.2-15-HE1-2016-00004</t>
  </si>
  <si>
    <t>Heves Városi Óvodák és Bölcsőde Köznevelési Intézmény Arany János úti Óvoda és Bölcsőde infrastrukturális fejlesztése</t>
  </si>
  <si>
    <t>Heves Város Zöld szíve</t>
  </si>
  <si>
    <t>9. EU-s projekt azonosítója, neve:</t>
  </si>
  <si>
    <t xml:space="preserve"> TOP-3.2.1-15-HE1-2016-00011</t>
  </si>
  <si>
    <t>10. EU-s projekt azonosítója, neve:</t>
  </si>
  <si>
    <t>TOP-5.2.1-15-HE1-2016-00004</t>
  </si>
  <si>
    <t>Heves város Újtelep alapellátás rendelőinek energetikai fejlesztése</t>
  </si>
  <si>
    <t>11. EU-s projekt azonosítója, neve:</t>
  </si>
  <si>
    <t>TOP-5.1.2-15-HE1-2016-00001</t>
  </si>
  <si>
    <t>12. EU-s projekt azonosítója, neve:</t>
  </si>
  <si>
    <t>TOP-3.2.2-15-HE1-2016-00003</t>
  </si>
  <si>
    <t>Foglalkoztatási együttműködések kialakítása a dél-hevesi térségben</t>
  </si>
  <si>
    <t>Heves Város középületeinek energetikai megújuló energiaforrások kiaknázásával</t>
  </si>
  <si>
    <t>13. EU-s projekt azonosítója, neve:</t>
  </si>
  <si>
    <t>TOP-4.2.1-15-HE1-2016-00014</t>
  </si>
  <si>
    <t>14. EU-s projekt azonosítója, neve:</t>
  </si>
  <si>
    <t>KEHOP-2.2.1-15-2015-00024</t>
  </si>
  <si>
    <t>Dél-Hevesi Kistérség Gyermekjóléti Központja és Családsegítő Szolgálatának fejlesztése</t>
  </si>
  <si>
    <t>Solt szennyvíztisztitó telep korszerűsítése, tisztított szennyvíz Duna sodorvonali bevezetésével</t>
  </si>
  <si>
    <t>(TÁMOGATÁSI INTENZÍTÁS 86,996106%; MEGVALÓSÍTÁS FOLYAMATBAN)</t>
  </si>
  <si>
    <t>Kerekerdő óvoda tornaszobával történő fejlesztés (önerő)</t>
  </si>
  <si>
    <t>Utcanévtáblák elkészítése és kihelyzése</t>
  </si>
  <si>
    <t>KÖFOP-1.2.1-VEKOP-16-2017-00715 Heves Város Önkormányzata ASP központhoz való csatlakozása</t>
  </si>
  <si>
    <t>TOP-1.4.1-15-HE1-2016-00018 Heves Városi Óvodák és Bölcsőde Köznevelési Intézmény Arany János úti Óvoda és Bölcsőde infrastrukturális fejlesztése</t>
  </si>
  <si>
    <t>TOP-2.1.2-15-HE1-2016-00004 Heves Város Zöld szíve</t>
  </si>
  <si>
    <t>TOP-3.2.2-15-HE1-2016-00003 Heves Város középületeinek energetikai megújuló energiaforrások kiaknázásával</t>
  </si>
  <si>
    <t>TOP-4.2.1-15-HE1-2016-00014 Dél-Hevesi Kistérség Gyermekjóléti Központja és Családsegítő Szolgálatának fejlesztése</t>
  </si>
  <si>
    <t>KEHOP-2.2.1-15-2015-00024 Solt szennyvíztisztitó telep korszerűsítése, tisztított szennyvíz Duna sodorvonali bevezetésével</t>
  </si>
  <si>
    <t>TOP-3.2.1-15-HE1-2016-00011 Heves város Újtelep alapellátás rendelőinek energetikai fejlesztése</t>
  </si>
  <si>
    <t>Önkormányzati jogalkotás (polgármester)</t>
  </si>
  <si>
    <t>Hevesi Fúvószenekar</t>
  </si>
  <si>
    <t>TOP-1.2.1-15-HE1-2016-00005 a Halász-kúria turisztikai fejlesztése Heves Városban</t>
  </si>
  <si>
    <t>TOP-5.2.1-15-HE1-2016-00004 Komplex társadalmi együttműködési program Heves városában</t>
  </si>
  <si>
    <t>TOP-5.1.2-15-HE1-2016-00001 Foglalkoztatási együttműködések kialakítása a dél-hevesi térségben</t>
  </si>
  <si>
    <t>Mcélú ÁHB/ÁHK</t>
  </si>
  <si>
    <t>Cafetéria</t>
  </si>
  <si>
    <t>Támogatások, egyéb bevételek, kiadások (rendezés)</t>
  </si>
  <si>
    <t>Kerekerdő óvoda tornaszobával történő fejlesztés</t>
  </si>
  <si>
    <t>999000</t>
  </si>
  <si>
    <t>960302</t>
  </si>
  <si>
    <t>680001</t>
  </si>
  <si>
    <t>682002</t>
  </si>
  <si>
    <t>811000</t>
  </si>
  <si>
    <t>750000</t>
  </si>
  <si>
    <t>862211</t>
  </si>
  <si>
    <t>813000</t>
  </si>
  <si>
    <t>862301</t>
  </si>
  <si>
    <t>931102</t>
  </si>
  <si>
    <t>562918</t>
  </si>
  <si>
    <t>680003</t>
  </si>
  <si>
    <t>932911</t>
  </si>
  <si>
    <t>562917</t>
  </si>
  <si>
    <t>562912</t>
  </si>
  <si>
    <t>562913</t>
  </si>
  <si>
    <t>889101</t>
  </si>
  <si>
    <t>889103</t>
  </si>
  <si>
    <t>910210</t>
  </si>
  <si>
    <t>910502</t>
  </si>
  <si>
    <t>889201</t>
  </si>
  <si>
    <t>889924</t>
  </si>
  <si>
    <t>493102</t>
  </si>
  <si>
    <t>A gyermekek, fiatalok és családok életminőségét javító programok (EFOP-1.2.9-17 Nők a családban és a munkahelyen)</t>
  </si>
  <si>
    <t>Városi és elővárosi közúti személyszállítás (TOP-3.1.1-15-HE1-2016-00006 Kerékpárút fejlesztése Heves városában)</t>
  </si>
  <si>
    <t>Városi és elővárosi közúti személyszállítás (TOP-3.1.1-15-HE1-2016-00007 Kerékpáros fejlesztés Boconád, Heves és Tarnaméra községekben)</t>
  </si>
  <si>
    <t>Városi és elővárosi közúti személyszállítás (TOP-3.1.1-16-HE1-2017-00003 Kerékpáros fejlesztés Heves és Hevesvezekény településeken)</t>
  </si>
  <si>
    <t>Turizmusfejlesztési támogatások és tevékenységek (TOP 1.2.1.)</t>
  </si>
  <si>
    <t>Turizmusfejlesztési támogatások és tevékenységek (TOP-1.2.1-15-HE1-2016-00005 a Halász-kúria turisztikai fejlesztése Heves Városban)</t>
  </si>
  <si>
    <t>047320</t>
  </si>
  <si>
    <t>A gyermekek, fiatalok és családok életminőségét javító programok (EFOP 1.2.9)</t>
  </si>
  <si>
    <t>Óvodai nevelés (TOP-1.4.1-15-HE1-2016-00018 Heves Városi Óvodák és Bölcsőde Köznevelési Intézmény Arany János úti Óvoda és Bölcsőde infrastrukturális fejlesztése)</t>
  </si>
  <si>
    <t>Óvodai nevelés, ellátás szakmai feladatai (TOP 1.4.1.)</t>
  </si>
  <si>
    <t>Városi és elővárosi közúti személyszállítás (TOP 3.1.1.)</t>
  </si>
  <si>
    <t>062020</t>
  </si>
  <si>
    <t>Településfejlesztési projektek és támogatásuk (TOP 2.1.2.)</t>
  </si>
  <si>
    <t>Településfejlesztési projektek és támogatásuk ( TOP-2.1.2-15-HE1-2016-00004 Heves Város Zöld szíve)</t>
  </si>
  <si>
    <t>Nem lakóingatlan bérbeadása, üzemeltetése (TOP-3.2.1-15-HE1-2016-00011 Heves város Újtelep alapellátás rendelőinek energetikai fejlesztése)</t>
  </si>
  <si>
    <t>Az önkormányzati vagyonnal való gazdálkodással kapcsolatos feladatok (TOP 3.2.1.)</t>
  </si>
  <si>
    <t>105020</t>
  </si>
  <si>
    <t>Foglalkoztatást elősegítő képzések és egyéb támogatások ( TOP-5.1.2-15-HE1-2016-00001 Foglalkoztatási együttműködések kialakítása a dél-hevesi térségben)</t>
  </si>
  <si>
    <t>Foglalkoztatást elősegítő képzések és egyéb támogatások  (TOP 5.1.2.)</t>
  </si>
  <si>
    <t>Nem lakóingatlan bérbeadása, üzemeltetése (TOP-3.2.2-15-HE1-2016-00003 Heves Város középületeinek energetikai megújuló energiaforrások kiaknázásával)</t>
  </si>
  <si>
    <t>Az önkormányzati vagyonnal való gazdálkodással kapcsolatos feladatok (TOP 3.2.2.)</t>
  </si>
  <si>
    <t>Család- és gyermekjóléti szolgáltatások  (TOP 4.2.1.)</t>
  </si>
  <si>
    <t>Gyermekjóléti szolgáltatás (TOP-4.2.1-15-HE1-2016-00014 Dél-Hevesi Kistérség Gyermekjóléti Központja és Családsegítő Szolgálatának fejlesztése)</t>
  </si>
  <si>
    <t>Településfejlesztési projektek és támogatásuk (TOP-5.2.1-15-HE1-2016-00004 Komplex társadalmi együttműködési program Heves városában)</t>
  </si>
  <si>
    <t>Településfejlesztési projektek és támogatásuk (TOP 5.2.1.)</t>
  </si>
  <si>
    <t>2019. ÉVI ÖSSZESÍTETT KÖLTSÉGVETÉSI MÉRLEGE</t>
  </si>
  <si>
    <t>2019. évi előirányzat</t>
  </si>
  <si>
    <t xml:space="preserve"> 2019. ÉVI LÉTSZÁMKERET</t>
  </si>
  <si>
    <t>2019. ÉVI KÖLTSÉGVETÉSI MÉRLEGE</t>
  </si>
  <si>
    <t>2019. ÉVI MŰKÖDÉSI CÉLÚ BEVÉTELEK ÉS KIADÁSOK MÉRLEGE</t>
  </si>
  <si>
    <t>2019. ÉVI FELHALMOZÁSI CÉLÚ BEVÉTELEK ÉS KIADÁSOK MÉRLEGE</t>
  </si>
  <si>
    <t xml:space="preserve"> 2019. ÉVI ENGEDÉLYEZETT LÉTSZÁM ELŐIRÁNYZATA</t>
  </si>
  <si>
    <t>2019. évi létszám előirányzat (fő)</t>
  </si>
  <si>
    <t>2021. után</t>
  </si>
  <si>
    <t>2019. előtt</t>
  </si>
  <si>
    <t>2019. előtti kifizetés</t>
  </si>
  <si>
    <t>Az önkormányzat által adott 2019. évi közvetett támogatások</t>
  </si>
  <si>
    <t>2017. évi teljesítés</t>
  </si>
  <si>
    <t>HEVES VÁROS ÖNKORMÁNYZATA 2019. ÉVI ÖNKORMÁNYZATI TÁMOGATÁSAI</t>
  </si>
  <si>
    <t>Felhasználás 2019. előtt</t>
  </si>
  <si>
    <t>2019. év utáni szükséglet</t>
  </si>
  <si>
    <t>Heves Város Gyermekjóléti Központja és Családsegítő Szolgálata beruházásai</t>
  </si>
  <si>
    <t>Heves Város Gyermekjóléti Központja és Családsegítő Szolgálata beruházásai összesen:</t>
  </si>
  <si>
    <t>Heves Város Gyermekjóléti Központja és Családsegítő Szolgálata  felújításai</t>
  </si>
  <si>
    <t>Heves Város Gyermekjóléti Központja és Családsegítő Szolgálata  felújításai összesen:</t>
  </si>
  <si>
    <t>Heves Városi Mezei Őrszolgálat felújításai összesen:</t>
  </si>
  <si>
    <t>Heves Város Gyermekjóléti Központja és Családsegítő Szolgálata egyéb felhalmozási célú kiadásai</t>
  </si>
  <si>
    <t>Heves Város Gyermekjóléti Központja és Családsegítő Szolgálata egyéb felhalmozási célú kiadásai összesen:</t>
  </si>
  <si>
    <t>2019. ÉVI CÉLJELEGGEL NYÚJTOTT TÁMOGATÁSOK, ÁTADOTT PÉNZEK</t>
  </si>
  <si>
    <t>2019. évi működési költségvetés előirányzata</t>
  </si>
  <si>
    <t>2019. évi felhalmozási költségvetés előirányzata</t>
  </si>
  <si>
    <t>......................, 2019. .......................... hó ..... nap</t>
  </si>
  <si>
    <t>Gyermekétkeztetés, munkahelyi étkeztetés, egyéb vendéglátás nyersanyagnormája és térítési díja 2019. január 1-től</t>
  </si>
  <si>
    <t>Heves Város Önkormányzata saját bevételeinek, valamint az adósságot keletkeztető ügyletekből származó fizetési kötelezettségeinek várható alakulása  2019-2022. években</t>
  </si>
  <si>
    <t>Az önkormányzati vagyonnal való gazdálkodással kapcsolatos feladatok (TOP 1.1.1.)</t>
  </si>
  <si>
    <t>Nem lakóingatlan bérbeadása, üzemeltetése (TOP-1.1.1-16HE1-2017-00002 Iparterület kialakítása Heves Városban)</t>
  </si>
  <si>
    <t>Turizmusfejlesztési támogatások és tevékenységek (TOP-1.2.1-16-HE1-2017-00010 Az első magyar sakkmúzeum fejlesztése Hevesen)</t>
  </si>
  <si>
    <t>Településfejlesztési projektek és támogatásuk ( TOP-4.3.1-15HE1-2016-00014 Leromlott területek rehabilitációja Heves városban)</t>
  </si>
  <si>
    <t>Településfejlesztési projektek és támogatásuk (TOP 4.3.1.)</t>
  </si>
  <si>
    <t>076010</t>
  </si>
  <si>
    <t>Egészségügy igazgatása (EFOP 1.8.2.)</t>
  </si>
  <si>
    <t>Egészségügy igazgatása (EFOP -1.8.2-17-2017-00006 Praxisközösség létrehozása a Hevesi járásban)</t>
  </si>
  <si>
    <t>107080</t>
  </si>
  <si>
    <t>Esélyegyenlőség elősegítését célzó tevékenységek és programok (EFOP 1.5.3.)</t>
  </si>
  <si>
    <t>095020</t>
  </si>
  <si>
    <t>Iskolarendszeren kívüli egyéb oktatás, képzés (EFOP 3.9.2.)</t>
  </si>
  <si>
    <t>855900</t>
  </si>
  <si>
    <t>Iskolarendszeren kívüli egyéb oktatás, képzés (EFOP -3.9.2-16-2017-00024 Humán szolgáltatások fejlesztése a Hevesi járásban)</t>
  </si>
  <si>
    <t>Esélyegyenlőség elősegítését célzó tevékenységek és programok (EFOP -1.5.3-16-2017-00108 Humán kapacitások fejlesztése a Hevesi járásban)</t>
  </si>
  <si>
    <t>A gyermekek, fiatalok és családok életminőségét javító programok (EFOP 1.4.2.)</t>
  </si>
  <si>
    <t>Hátrányos helyzetű kistérségek speciális komplex felzárkóztató programjai (EFOP-1.4.2-16-2016-00030)</t>
  </si>
  <si>
    <t>Turizmusfejlesztési támogatások és tevékenységek (TOP-1.2.1-16-HE1-2017-00009 Ökoturisztikai fejlesztés Heves Városban)</t>
  </si>
  <si>
    <t>047120</t>
  </si>
  <si>
    <t>Piac üzemeltetése (TOP-1.1.3-16-HE1-2017-00007 A helyi gazdaság fejlesztése Heves városban)</t>
  </si>
  <si>
    <t>Piac üzemeltetése (TOP 1.1.3.)</t>
  </si>
  <si>
    <t>Településfejlesztési projektek és támogatásuk (TOP-2.1.2-16-HE1-2017-00001 A hevesi Vicán-tó és környezetének fejlesztése)</t>
  </si>
  <si>
    <t>Esélyegyenlőség elősegítését célzó tevékenységek és programok (EFOP 2.1.2.)</t>
  </si>
  <si>
    <t>Esélyegyenlőség elősegítését célzó tevékenységek és programok (EFOP-2.1.2-16-2017-00015 Gyerekesély programok infrastrukturális háttere a Hevesi járásban)</t>
  </si>
  <si>
    <t>A költségvetési szerveknél foglalkoztatottak 2018. évi áthúzódó és 2019. évi kompenzációja</t>
  </si>
  <si>
    <t>Az óvodában foglalkoztatott pedagógusok és az e pedagógusok nevelőmunkáját közvetlenül segítők bértámogatása</t>
  </si>
  <si>
    <r>
      <t>A TELEPÜLÉSI ÖNKORMÁNYZATOK EGYES KÖZNEVELÉSI FELADATAINAK TÁMOGATÁSA</t>
    </r>
    <r>
      <rPr>
        <b/>
        <i/>
        <sz val="9"/>
        <rFont val="Times New Roman CE"/>
        <charset val="238"/>
      </rPr>
      <t xml:space="preserve"> [1.+…+5.]</t>
    </r>
  </si>
  <si>
    <t>Nemzetiségi pótlék</t>
  </si>
  <si>
    <t>Szociális ágazati összevont pótlék és egészségügyi kiegészítő pótlék</t>
  </si>
  <si>
    <t>o)</t>
  </si>
  <si>
    <t>Kiegészítő fajlagos összegek</t>
  </si>
  <si>
    <t>oa)</t>
  </si>
  <si>
    <t>ob)</t>
  </si>
  <si>
    <t>Kiegészítő fajlagos összegek az a) és b) alpontok szerinti támogatásokhoz</t>
  </si>
  <si>
    <t>Kiegészítő fajlagos összegek a db), e) és k)-m) alpontok szerinti támogatásokhoz</t>
  </si>
  <si>
    <t>Kiegészítő fajlagos összeg az a) alpont szerinti támogatáshoz</t>
  </si>
  <si>
    <t>Intézményi gyermekétkeztetés támogatása</t>
  </si>
  <si>
    <t>aa)</t>
  </si>
  <si>
    <t>ab)</t>
  </si>
  <si>
    <t>Gyermekétkeztetés támogatása</t>
  </si>
  <si>
    <r>
      <t xml:space="preserve">A TELEPÜLÉSI ÖNKORMÁNYZATOK SZOCIÁLIS, GYERMEKJÓLÉTI ÉS GYERMEKÉTKEZTETÉSI FELADATAINAK TÁMOGATÁSA </t>
    </r>
    <r>
      <rPr>
        <b/>
        <i/>
        <sz val="9"/>
        <rFont val="Times New Roman CE"/>
        <charset val="238"/>
      </rPr>
      <t xml:space="preserve"> [1.+...+6.]</t>
    </r>
  </si>
  <si>
    <t>Kiegyenlítő bérrendezési alap</t>
  </si>
  <si>
    <r>
      <t xml:space="preserve">HELYI ÖNKORMÁNYZATOK MŰKÖDÉSI CÉLÚ KÖLTSÉGVETÉSI TÁMOGATÁSAI </t>
    </r>
    <r>
      <rPr>
        <b/>
        <i/>
        <sz val="9"/>
        <rFont val="Times New Roman CE"/>
        <charset val="238"/>
      </rPr>
      <t>[1.+12.]</t>
    </r>
  </si>
  <si>
    <t>Bölcsődei, mini bölcsődei férőhelyek kialakításának támogatása</t>
  </si>
  <si>
    <t>Makói Városi Termál- és Gyógyfürdő (Hagymatikum) fejlesztésének támogatása</t>
  </si>
  <si>
    <t>Budapest I. kerület Budavári Önkormányzat felújítási feladatainak támogatása</t>
  </si>
  <si>
    <t>Hatvani sport- és rendezvénycsarnok beruházás megvalósításának támogatása</t>
  </si>
  <si>
    <t>Fürdőberuházás megvalósításának támogatása Bogácson</t>
  </si>
  <si>
    <t>Fürdőberuházás megvalósításának támogatása Mezőcsáton</t>
  </si>
  <si>
    <t>Épület közösségi célú felújításának támogatása Vattán</t>
  </si>
  <si>
    <t>Csincsei művelődési ház bővítésének támogatása</t>
  </si>
  <si>
    <t>Zalaapáti Község Önkormányzatának támogatása</t>
  </si>
  <si>
    <t>Klauzál tér felújítása projekt előkészítésének támogatása</t>
  </si>
  <si>
    <t>Kállósemjéni bölcsőde beruházás támogatása</t>
  </si>
  <si>
    <t>A Budapest IX. kerületi MÁV-Aszódi telep vízhálózata fejlesztésének támogatása</t>
  </si>
  <si>
    <t>A Budapest IX. kerületi MÁV-Aszódi telepen a közvilágítás kiépítésének támogatása</t>
  </si>
  <si>
    <t>Golgota téri Stáció helyreállításának támogatása</t>
  </si>
  <si>
    <t>Józsefvárosi strand- és gyógyfürdő beruházás előkészítésének támogatása</t>
  </si>
  <si>
    <t>fel nem használt szockieg (ha -)</t>
  </si>
  <si>
    <t>Városüzemeltetési feladatok 2019.</t>
  </si>
  <si>
    <t xml:space="preserve">Az útkarbantartási feladatokat (kátyúzás, burkolati jelek felfestése, járdafelújítás, KRESZ táblák cseréje) a Heva Kft, és külső cégekkek tervezzük megvalósítani. </t>
  </si>
  <si>
    <r>
      <rPr>
        <b/>
        <u/>
        <sz val="9"/>
        <rFont val="Times New Roman"/>
        <family val="1"/>
        <charset val="238"/>
      </rPr>
      <t>Járdafelújítás</t>
    </r>
    <r>
      <rPr>
        <b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>Az elult években képviselői keretből, saját forrásból és a közmunka program révén jelentős járdafelújítások történtek, ezért a tárgyi évben ezen a jogcímen nem tervezünk kiadást.</t>
    </r>
  </si>
  <si>
    <r>
      <rPr>
        <b/>
        <u/>
        <sz val="9"/>
        <rFont val="Times New Roman"/>
        <family val="1"/>
        <charset val="238"/>
      </rPr>
      <t>Külterületi utak karbantartása: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külterületi útak karbantartása  az önkormányzat kötelező feladata.</t>
    </r>
  </si>
  <si>
    <r>
      <rPr>
        <b/>
        <u/>
        <sz val="9"/>
        <rFont val="Times New Roman"/>
        <family val="1"/>
        <charset val="238"/>
      </rPr>
      <t>Síkosság mentesítés</t>
    </r>
    <r>
      <rPr>
        <sz val="9"/>
        <rFont val="Times New Roman"/>
        <family val="1"/>
        <charset val="238"/>
      </rPr>
      <t>: Költsége időjárás függő. Költségeit az elmúlt évek viszonyait figyelembe véve prognosztizálható</t>
    </r>
  </si>
  <si>
    <t>A Városgondnoksági Iroda az illetékessége</t>
  </si>
  <si>
    <t>Az elmúlt évben képviselői keretek felhasználása révén növekedett a közvilágítási lámpatestek száma .</t>
  </si>
  <si>
    <t>A közkifolyók számának további csökkentése nem lehetséges, ezért a szakfeladatra előirányzott költség meghatározása a 2018. évi teljesítés figyelembevételével történt.</t>
  </si>
  <si>
    <t>A tárgyi évben a Gyöngyösi u. temető is az önkormányzat kezelésébe került. Az üzemeltetést a Városgondnokság végzi . A temető folyamatos ápoltságának biztosítására folyamatos gondnokra lenne szükség.</t>
  </si>
  <si>
    <t>Új zöldterületi részek virágosítása,parkosítása</t>
  </si>
  <si>
    <t>Konténer szállítás</t>
  </si>
  <si>
    <t>Zöldterületek kaszálása</t>
  </si>
  <si>
    <t>A startmunka program keretében 2019-ben is is pályázunk. A foglalkoztatást …… fő bevonásával tervezzük.</t>
  </si>
  <si>
    <t>A hagyományos közfoglalkoztatás 2019 évre vonatkozó támogatottsága még nem ismert. Valószínűleg a 2018-es évhez hasonlóan a  hosszabb távú foglalkoztatás 70-100%-ban lesz támogatható és a dologi kiadásokra nem kapunk támogatást.</t>
  </si>
  <si>
    <t>A közfoglalkoztatási bér bruttó összege 2019-ben nem változik, a 8 órás foglalkoztatás 79.155 forint, a garantált bér összege 104.480 forint.  A kifizetés havi rendszerességgel történik.</t>
  </si>
  <si>
    <t xml:space="preserve">104 480 forint. </t>
  </si>
  <si>
    <t>Hírdetmények, kifüggesztések</t>
  </si>
  <si>
    <t>Az elmúlt évben vagyonkezelés céljára megkapott és ipari fejlesztések számára vásárolt földterületek mezőgazdasági hasznosításahoz kapott földalapú támogatás kerül tervezésre, mely terület a Viczán tó melletti területtel bővűl.</t>
  </si>
  <si>
    <t>piac bérbeadása</t>
  </si>
  <si>
    <t>Ingatlan eladás</t>
  </si>
  <si>
    <t>Temetők működtetésével kapcsolatos bevételek</t>
  </si>
  <si>
    <t>Polgármesteri Hivatal épületének belső felújításának befejezése</t>
  </si>
  <si>
    <t xml:space="preserve">A Művelődési Ház mellett építendő közhasználatú illemhely tervét elkészítetni és az épületet megépítetni: Testületi döntés értelmében megkezdődött a közhasználatú illemhely tervezési munkája. A terv elkészülte és az építési engedély megléte után megkezdődik az épület építése a Művelődési Ház épület északi oldalán a színpadi bejárat mellett. 2016-os és 2017-es költségvetésből forráshiány miatt elmaradt feladat megvalósítása .
</t>
  </si>
  <si>
    <t>A Művelődési Ház érdekeltségnövelő pályázatának megvalósítása : az önkormányzatunk által elnyert pályázat 2018.évi közművelődés fejlesztési pályázat önerejét és az elnyert támogatást tervezzük ezen a soron, amelyből az épület kazáncseréje (kondenzációs kazán beépítése)és a szükséges hálózat kiépítése valósul meg.</t>
  </si>
  <si>
    <t>A Heves Város Zöld Szíve - szabaidőközpont projekt kivitelezői szerződésének támogatáson felüli összegének pénzügyi rendezése.</t>
  </si>
  <si>
    <t>Tervek készítése  : A hazai forrásból megvalósuló fejlesztési terveink folyamatos viteléhez elengedhetetlen a tervek , tanulmányok megléte , korábbi terveink korszerűségi felülvizsgálata . Az EU-s források esetében a tervek a pozitív pályázati döntés esetén a tervezésre fordított kiadások megtérülnek.</t>
  </si>
  <si>
    <t>Rendezési terv átfogó felülvizsgálata és digitális alaptérkép elkészítése  : a hatályos rendezési tervünket 2019 végére kötelező felülvizsgálni .A 2018 évi elmaradt és a 2019.évi pénzügyi ütem kerül tervezésre.</t>
  </si>
  <si>
    <t>Mezei őrszolgálat eszközbeszerzése : mezei őrszolgálat működésének javításához szükséges hőkamera beszerzése</t>
  </si>
  <si>
    <t>mösz</t>
  </si>
  <si>
    <t>Utcanévtáblák, információs táblák elékészítése és kihelyezése</t>
  </si>
  <si>
    <t>Az Erkel utcai parkoló befejezése: parkolókat elválasztó vonalak felfestése, zöldfelületek rendezése</t>
  </si>
  <si>
    <t>A büntetésvégrehajtási intézet létesítéséhez vállalt középfeszültségű vezeték kiépítése.</t>
  </si>
  <si>
    <t>Alatkai zártkerti fejlesztési pályázat végrehajtása</t>
  </si>
  <si>
    <r>
      <rPr>
        <b/>
        <u/>
        <sz val="9"/>
        <rFont val="Times New Roman"/>
        <family val="1"/>
        <charset val="238"/>
      </rPr>
      <t>Kátyúzás: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Az elmúlt években a kátyúzási munkák csak az "ütőkátyúk" megszüntetésére korlátozódott. A tárgyi évben szükségessé vált egy átfogó karbantartási munkát végezni, ami magába foglalja a burkolat szélek  és repedezett szakaszok javítását is.</t>
    </r>
  </si>
  <si>
    <r>
      <rPr>
        <b/>
        <u/>
        <sz val="9"/>
        <rFont val="Times New Roman"/>
        <family val="1"/>
        <charset val="238"/>
      </rPr>
      <t>Gyalogos átkelők létesítése: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közlekedés biztonságának növelése érekében</t>
    </r>
    <r>
      <rPr>
        <b/>
        <sz val="9"/>
        <rFont val="Times New Roman"/>
        <family val="1"/>
        <charset val="238"/>
      </rPr>
      <t xml:space="preserve"> - l</t>
    </r>
    <r>
      <rPr>
        <sz val="9"/>
        <rFont val="Times New Roman"/>
        <family val="1"/>
        <charset val="238"/>
      </rPr>
      <t>akossági igényként felmerült - indokolt 3 db gyalogos átkelő tervezése és megvalósítása (Benedek E. kisegítő iskola 2 db, sakkmúzeúm előtt 1 db)</t>
    </r>
  </si>
  <si>
    <r>
      <rPr>
        <b/>
        <u/>
        <sz val="9"/>
        <rFont val="Times New Roman"/>
        <family val="1"/>
        <charset val="238"/>
      </rPr>
      <t>Útburkolati jelek felfestése: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Az utóbbi években az útburkolati jelk felfestése nem történt meg, ezért szinte észrevétlenné váltak. A közmunka program forrásainak csökkenése miatt csak külső vállalkozó bevonásával tudjuk megvalósítani.</t>
    </r>
  </si>
  <si>
    <r>
      <rPr>
        <b/>
        <u/>
        <sz val="9"/>
        <rFont val="Times New Roman"/>
        <family val="1"/>
        <charset val="238"/>
      </rPr>
      <t>KRESZ táblák pótlása:</t>
    </r>
    <r>
      <rPr>
        <sz val="9"/>
        <rFont val="Times New Roman"/>
        <family val="1"/>
        <charset val="238"/>
      </rPr>
      <t xml:space="preserve"> Forrás hiány miatt , csak a hiányzó és megrongált táblák pótlására tervezünk forrást, </t>
    </r>
  </si>
  <si>
    <r>
      <rPr>
        <b/>
        <u/>
        <sz val="9"/>
        <rFont val="Times New Roman"/>
        <family val="1"/>
        <charset val="238"/>
      </rPr>
      <t>Útkarbantartás és felújítás</t>
    </r>
    <r>
      <rPr>
        <u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 xml:space="preserve"> Az Erkel lakótelepi utca és Hunyadi J. u. felújítása már nem halasztható tovább, ezért felújításával saját forrásból is tervezni szükséges.</t>
    </r>
  </si>
  <si>
    <r>
      <rPr>
        <b/>
        <u/>
        <sz val="9"/>
        <rFont val="Times New Roman"/>
        <family val="1"/>
        <charset val="238"/>
      </rPr>
      <t>Közvilágítási hálózat felújítása bővítése:</t>
    </r>
    <r>
      <rPr>
        <sz val="9"/>
        <rFont val="Times New Roman"/>
        <family val="1"/>
        <charset val="238"/>
      </rPr>
      <t xml:space="preserve"> A közvilágítási hálózat bővítési és felújítási igénye a település több részén merült fel:Alatka, Bernáthegy.Ezen területeken a közvilágításhoz szükséges közviágítási szál kiépítése szükséges. Az elavult lámpatestek cseréje szükséges a strand környékén és Pusztacsászon.</t>
    </r>
  </si>
  <si>
    <t>ÁFA levonható!???</t>
  </si>
  <si>
    <t>Közkifolyók</t>
  </si>
  <si>
    <t>Temető fenntartás</t>
  </si>
  <si>
    <t>Parkfenntartás és köztisztaság</t>
  </si>
  <si>
    <t>Állategészségügyi feladatok</t>
  </si>
  <si>
    <r>
      <rPr>
        <b/>
        <u/>
        <sz val="9"/>
        <rFont val="Times New Roman"/>
        <family val="1"/>
        <charset val="238"/>
      </rPr>
      <t>Rágcsáló irtás:</t>
    </r>
    <r>
      <rPr>
        <sz val="9"/>
        <rFont val="Times New Roman"/>
        <family val="1"/>
        <charset val="238"/>
      </rPr>
      <t xml:space="preserve"> A 2014. évben jelentkezett szokatlan nagyszámú rágcsáló jelentős problémát okozott az önkormányzatnak. A korlátozott lokális irtás nem járt eredménnyel. Az előző év tanulságait levonva indokolt egy szakcéggel az egész városra/városrészre vonatkozó rágcsálóirtási szerződést kötni.</t>
    </r>
  </si>
  <si>
    <r>
      <rPr>
        <b/>
        <u/>
        <sz val="9"/>
        <rFont val="Times New Roman"/>
        <family val="1"/>
        <charset val="238"/>
      </rPr>
      <t>Kóbor ebek</t>
    </r>
    <r>
      <rPr>
        <sz val="9"/>
        <rFont val="Times New Roman"/>
        <family val="1"/>
        <charset val="238"/>
      </rPr>
      <t xml:space="preserve"> összeírásával, összegyűjtésével kapcsolatos költségek.</t>
    </r>
  </si>
  <si>
    <r>
      <rPr>
        <b/>
        <u/>
        <sz val="9"/>
        <rFont val="Times New Roman"/>
        <family val="1"/>
        <charset val="238"/>
      </rPr>
      <t>Előre nem látható költségek: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gyakran megjelenő és az előre nem tervezhető ( általában vis maior hellegű ) feladatok  kerete , amelyet az elmúlt évek tapasztalati alpján tervezünk   Itt jelennek meg a tervezett beruházásokhoz kapcsolódó  pótlólagos költségei.</t>
    </r>
  </si>
  <si>
    <r>
      <rPr>
        <b/>
        <u/>
        <sz val="9"/>
        <rFont val="Times New Roman"/>
        <family val="1"/>
        <charset val="238"/>
      </rPr>
      <t>A Régió-Kom</t>
    </r>
    <r>
      <rPr>
        <sz val="9"/>
        <rFont val="Times New Roman"/>
        <family val="1"/>
        <charset val="238"/>
      </rPr>
      <t xml:space="preserve">  követelésvásárlás 2019.évi ütem</t>
    </r>
  </si>
  <si>
    <r>
      <rPr>
        <b/>
        <u/>
        <sz val="9"/>
        <rFont val="Times New Roman"/>
        <family val="1"/>
        <charset val="238"/>
      </rPr>
      <t>Épületek bontása</t>
    </r>
    <r>
      <rPr>
        <b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 xml:space="preserve"> Fejlesztési céllal megvásárolt ingatlanok bontása és a már elbontott ingatlanok törmelékeinek elszállítása</t>
    </r>
  </si>
  <si>
    <r>
      <t xml:space="preserve">A </t>
    </r>
    <r>
      <rPr>
        <b/>
        <u/>
        <sz val="9"/>
        <rFont val="Times New Roman"/>
        <family val="1"/>
        <charset val="238"/>
      </rPr>
      <t>már aláírt szerződések</t>
    </r>
    <r>
      <rPr>
        <sz val="9"/>
        <rFont val="Times New Roman"/>
        <family val="1"/>
        <charset val="238"/>
      </rPr>
      <t xml:space="preserve"> szerint a közfoglalkoztatás költségei januártól februárig (100%-ban támogatott)</t>
    </r>
  </si>
  <si>
    <r>
      <t xml:space="preserve">A </t>
    </r>
    <r>
      <rPr>
        <b/>
        <u/>
        <sz val="9"/>
        <rFont val="Times New Roman"/>
        <family val="1"/>
        <charset val="238"/>
      </rPr>
      <t>2019. évi közfoglalkoztatás</t>
    </r>
    <r>
      <rPr>
        <sz val="9"/>
        <rFont val="Times New Roman"/>
        <family val="1"/>
        <charset val="238"/>
      </rPr>
      <t xml:space="preserve"> önkormányzati önrészére betervezett összeg</t>
    </r>
  </si>
  <si>
    <t>Vagyonkezelési szerződések</t>
  </si>
  <si>
    <t>Vízmű által fizetett bérleti díj</t>
  </si>
  <si>
    <t>közt</t>
  </si>
  <si>
    <t>Ingatlan bérbeadás</t>
  </si>
  <si>
    <r>
      <t>Területalapú támogatás</t>
    </r>
    <r>
      <rPr>
        <u/>
        <sz val="9"/>
        <rFont val="Times New Roman"/>
        <family val="1"/>
        <charset val="238"/>
      </rPr>
      <t> </t>
    </r>
  </si>
  <si>
    <t>A 2018-os évben műszakilag megvalósult fejlesztések , felújítások pénzügyi rendezése , halasztott fizetések : Polgármesteri Hivatal szavazatszámláló rendszer Hivatal szavazat számláló rendszer</t>
  </si>
  <si>
    <t>Városgazdálkodás</t>
  </si>
  <si>
    <t>2013.01.01. előtt átadott ingatlanok után járó (részben már tavalyi évben kiszámlázva)</t>
  </si>
  <si>
    <t>2013.01.01. után átadott ingatlanok után járó (részben már tavalyi évben kiszámlázva)</t>
  </si>
  <si>
    <t>Károlyi M. úti volt NHSZ  telephely bérbeadása</t>
  </si>
  <si>
    <t>sportcsarnok üzemeltetése</t>
  </si>
  <si>
    <t>tel fejl</t>
  </si>
  <si>
    <t>Sportszervezetek</t>
  </si>
  <si>
    <t>TAO önerő</t>
  </si>
  <si>
    <t>HM-i Katasztrófavédelmi Igazgatóság</t>
  </si>
  <si>
    <t>Alatkai zártkerti pályázat</t>
  </si>
  <si>
    <t>2018. évi érdekeltségnövelő támogatásból beruházás</t>
  </si>
  <si>
    <t>Erkel F. úti parkoló befejezése</t>
  </si>
  <si>
    <t>Művelődési Ház mellett építendő közhasználatú illemhely megépítése</t>
  </si>
  <si>
    <t>TOP-2.1.2-15-HE1-2016-00004 Heves Város Zöld szíve (vállalt önerő)</t>
  </si>
  <si>
    <t>Szavazat számláló rendszer 2019. évi kiadásai</t>
  </si>
  <si>
    <t>Közvilágítás bővítése</t>
  </si>
  <si>
    <t>Informatikai eszközbeszerzések</t>
  </si>
  <si>
    <t>Önkormányzati hivatal belső felújítása (folytatás)</t>
  </si>
  <si>
    <t>AMI Hevesi J. Tagiskola felújítása</t>
  </si>
  <si>
    <t>Ingatlanok vásárlása városfejlesztési feladatok megvalósítása érdekében (  Hevesért Közalapítvány ingatlanvás az elmaradt és a 2019.évi ütem, NHSZ ingatlan vásárlás 2019.évi ütem, Szerelem A. u. 20., Pusztacsász 45., opciós vételi jog, egyéb ingatlanok)</t>
  </si>
  <si>
    <t>fel</t>
  </si>
  <si>
    <t>3.15.</t>
  </si>
  <si>
    <t>AMI Hevesi J. Tagiskola felújítása önkormányzati vállalás</t>
  </si>
  <si>
    <t xml:space="preserve">Heves Város Önkormányzata és költségvetési szervei 2019. évi összesített költségvetési mérlege </t>
  </si>
  <si>
    <t xml:space="preserve">Heves Város Önkormányzata 2019. évi költségvetési mérlege </t>
  </si>
  <si>
    <t xml:space="preserve">Hevesi Közös Önkormányzati Hivatal 2019. évi költségvetési mérlege </t>
  </si>
  <si>
    <t xml:space="preserve">Heves Városi Óvodák és Bölcsőde Köznevelési Intézmény 2019. évi költségvetési mérlege </t>
  </si>
  <si>
    <t xml:space="preserve">Hevesi Kulturális Központ 2019. évi költségvetési mérlege </t>
  </si>
  <si>
    <t xml:space="preserve">Heves Városi Mezei Őrszolgálat 2019. évi költségvetési mérlege </t>
  </si>
  <si>
    <t xml:space="preserve">Heves Város Gyermekjóléti Központja és Családsegítő Szolgálata 2019. évi költségvetési mérlege </t>
  </si>
  <si>
    <t>Heves Város Önkormányzata és költségvetési szervei 2019. évi létszámkerete</t>
  </si>
  <si>
    <t>Heves Város Önkormányzata és költségvetési szervei 2019. évi összesített költségvetési mérlege (a tárgyévet megelőző két év teljesítési adataival kiegészítve)</t>
  </si>
  <si>
    <t>Heves Város Önkormányzata 2019. évi általános működésének és ágazati feladatainak támogatásának alakulása jogcímenként</t>
  </si>
  <si>
    <t>2019. évi felhalmozási célú kiadások</t>
  </si>
  <si>
    <t>2019. évi céljelleggel nyújtott támogatások</t>
  </si>
  <si>
    <t>Heves Város Polgárőr Egyesület</t>
  </si>
  <si>
    <t>strand</t>
  </si>
  <si>
    <t>Strand beruházás</t>
  </si>
  <si>
    <t>Az önkormányzat 2019. évi adósságot keletkeztető fejlesztési céljai</t>
  </si>
  <si>
    <t>Ingatlanvásárlás NHSZ Kft-től</t>
  </si>
  <si>
    <t>Regio-Komtól átvállalt követelés</t>
  </si>
  <si>
    <t>TOP-3.1.1-16-HE1-2017-00003</t>
  </si>
  <si>
    <t>Kerékpáros fejlesztés Heves és Hevesvezekény településeken</t>
  </si>
  <si>
    <t>EFOP-2.1.2-16-2017-00015 Gyerekesély programok infrastrukturális háttere a Hevesi járásban</t>
  </si>
  <si>
    <t>TOP-2.1.2-16-HE1-2017-00001 A hevesi Vicán-tó és környezetének fejlesztése</t>
  </si>
  <si>
    <t>TOP-1.1.3-16-HE1-2017-00007 A helyi gazdaság fejlesztése Heves városban</t>
  </si>
  <si>
    <t>TOP-1.2.1-16-HE1-2017-00009 Ökoturisztikai fejlesztés Heves Városban</t>
  </si>
  <si>
    <t>EFOP-1.4.2-16-2016-00030</t>
  </si>
  <si>
    <t>EFOP -3.9.2-16-2017-00024 Humán szolgáltatások fejlesztése a Hevesi járásban</t>
  </si>
  <si>
    <t>EFOP -1.5.3-16-2017-00108 Humán kapacitások fejlesztése a Hevesi járásban</t>
  </si>
  <si>
    <t>EFOP -1.8.2-17-2017-00006 Praxisközösség létrehozása a Hevesi járásban</t>
  </si>
  <si>
    <t>TOP-4.3.1-15HE1-2016-00014 Leromlott területek rehabilitációja Heves városban</t>
  </si>
  <si>
    <t>TOP-1.2.1-16-HE1-2017-00010 Az első magyar sakkmúzeum fejlesztése Hevesen</t>
  </si>
  <si>
    <t>TOP-1.1.1-16HE1-2017-00002 Iparterület kialakítása Heves Városban</t>
  </si>
  <si>
    <t>TOP-3.1.1-16-HE1-2017-00003 Kerékpáros fejlesztés Heves és Hevesvezekény településeken</t>
  </si>
  <si>
    <t>TOP-1.1.1-16HE1-2017-00002</t>
  </si>
  <si>
    <t>15. EU-s projekt azonosítója, neve:</t>
  </si>
  <si>
    <t>16. EU-s projekt azonosítója, neve:</t>
  </si>
  <si>
    <t>17. EU-s projekt azonosítója, neve:</t>
  </si>
  <si>
    <t>18. EU-s projekt azonosítója, neve:</t>
  </si>
  <si>
    <t>19. EU-s projekt azonosítója, neve:</t>
  </si>
  <si>
    <t>20. EU-s projekt azonosítója, neve:</t>
  </si>
  <si>
    <t>21. EU-s projekt azonosítója, neve:</t>
  </si>
  <si>
    <t>22. EU-s projekt azonosítója, neve:</t>
  </si>
  <si>
    <t>23. EU-s projekt azonosítója, neve:</t>
  </si>
  <si>
    <t>24. EU-s projekt azonosítója, neve:</t>
  </si>
  <si>
    <t>25. EU-s projekt azonosítója, neve:</t>
  </si>
  <si>
    <t>26. EU-s projekt azonosítója, neve:</t>
  </si>
  <si>
    <t>TOP-1.2.1-16-HE1-2017-00010</t>
  </si>
  <si>
    <t xml:space="preserve"> Az első magyar sakkmúzeum fejlesztése Hevesen</t>
  </si>
  <si>
    <t>TOP-4.3.1-15HE1-2016-00014</t>
  </si>
  <si>
    <t>Leromlott területek rehabilitációja Heves városban</t>
  </si>
  <si>
    <t>EFOP -1.8.2-17-2017-00006</t>
  </si>
  <si>
    <t xml:space="preserve"> Praxisközösség létrehozása a Hevesi járásban</t>
  </si>
  <si>
    <t xml:space="preserve">EFOP -1.5.3-16-2017-00108 </t>
  </si>
  <si>
    <t>Humán kapacitások fejlesztése a Hevesi járásban</t>
  </si>
  <si>
    <t>EFOP -3.9.2-16-2017-00024</t>
  </si>
  <si>
    <t xml:space="preserve"> Humán szolgáltatások fejlesztése a Hevesi járásban</t>
  </si>
  <si>
    <t xml:space="preserve">TOP-1.2.1-16-HE1-2017-00009 </t>
  </si>
  <si>
    <t>Ökoturisztikai fejlesztés Heves Városban</t>
  </si>
  <si>
    <t>TOP-1.1.3-16-HE1-2017-00007</t>
  </si>
  <si>
    <t xml:space="preserve"> A helyi gazdaság fejlesztése Heves városban</t>
  </si>
  <si>
    <t>TOP-2.1.2-16-HE1-2017-00001</t>
  </si>
  <si>
    <t xml:space="preserve"> A hevesi Vicán-tó és környezetének fejlesztése</t>
  </si>
  <si>
    <t>EFOP-2.1.2-16-2017-00015</t>
  </si>
  <si>
    <t xml:space="preserve"> Gyerekesély programok infrastrukturális háttere a Hevesi járásban</t>
  </si>
  <si>
    <t>31.</t>
  </si>
  <si>
    <t>32.</t>
  </si>
  <si>
    <t>33.</t>
  </si>
  <si>
    <t>34.</t>
  </si>
  <si>
    <t>35.</t>
  </si>
  <si>
    <t>36.</t>
  </si>
  <si>
    <t xml:space="preserve"> Komplex társadalmi együttműködési program Heves városában</t>
  </si>
  <si>
    <t xml:space="preserve"> Iparterület kialakítása Heves Városban</t>
  </si>
  <si>
    <t>Integrált térségi gyermekprogramok a Heves járásban</t>
  </si>
  <si>
    <t>EFOP-1.4.2-16-2016-00030 Integrált térségi gyermekprogramok a Heves járásban</t>
  </si>
  <si>
    <t>EFOP-1.2.9-17 Nők a családban és a munkahelyen</t>
  </si>
  <si>
    <t>Nők a családban és a munkahelyen</t>
  </si>
  <si>
    <t>EFOP-1.2.9-17</t>
  </si>
  <si>
    <t>37.</t>
  </si>
  <si>
    <t>Összesen (1.+3.+5.+7.+33.)</t>
  </si>
  <si>
    <t>Kerekerdő óvoda tornaszobával történő fejlesztésre elkészült pályázatunk "vigaszaszágon" támogatást nyert, amelynek teljeskörű megvalósításához szükséges a tervezett saját erő mértékét (10.000 eFt) hitelből tervezünk biztosítani.</t>
  </si>
  <si>
    <t>3.16.</t>
  </si>
  <si>
    <t>2019. évi eredeti előirányzat</t>
  </si>
  <si>
    <t>2019. évi módosított előirányzat</t>
  </si>
  <si>
    <t>2019. évi eredeti létszám előirányzat (fő)</t>
  </si>
  <si>
    <t>2019. évi eredeti tervezett kedvezmény nélkül elérhető bevétel</t>
  </si>
  <si>
    <t>2019. évi eredeti tervezett kedvezmények összege</t>
  </si>
  <si>
    <t>2019. évi módosított tervezett kedvezmény nélkül elérhető bevétel</t>
  </si>
  <si>
    <t>2019. évi módosított tervezett kedvezmények összege</t>
  </si>
  <si>
    <t>38.</t>
  </si>
  <si>
    <t>Alkotmány út és a Szent István út felújítását szolgáló pályázat</t>
  </si>
  <si>
    <t>Alkotmány út és a Szent István út felújítása (az önkormányzati feladatellátást szolgáló fejlesztési pályázat)</t>
  </si>
  <si>
    <t>2019. évi költségvetés eredeti előirányzat</t>
  </si>
  <si>
    <t>2019. évi költségvetés módosított előirányzat</t>
  </si>
  <si>
    <t>HELYI ÖNKORMÁNYZATOK FELHALMOZÁSI CÉLÚ KÖLTSÉGVETÉSI TÁMOGATÁSAI [1.+26.]</t>
  </si>
  <si>
    <t>Önkormányzatok 2019. évi feladatainak támogatása (strand beruházás támogatása)</t>
  </si>
  <si>
    <t>Akác út-Alatka, Hellebronth utca, Csárda és Cseplye utca felújítása</t>
  </si>
  <si>
    <t>Leromlott területek rehabilitációja Heves városban’ elnevezésű pályázat „Dankó és Nyár utcák felújítása” (önerő)</t>
  </si>
  <si>
    <t>Heves-Alatkai Hagyományőrző és Környezetvédő Egyesület</t>
  </si>
  <si>
    <t>K01 - Beszámoló a K1.-K8. Költségvetési kiadások előirányzatának teljesítéséről</t>
  </si>
  <si>
    <t>K02 - Beszámoló a B1. - B7.  költségvetési bevételek előirányzatának teljesítéséről</t>
  </si>
  <si>
    <t>17. melléklet</t>
  </si>
  <si>
    <t>K03 - Önkormányzati (irányító szervi) konszolidált beszámoló - K9. Finanszírozási kiadások</t>
  </si>
  <si>
    <t>18. melléklet</t>
  </si>
  <si>
    <t>K04 - Önkormányzati (irányító szervi) konszolidált beszámoló -  B8. Finanszírozási bevételek</t>
  </si>
  <si>
    <t>19. melléklet</t>
  </si>
  <si>
    <t>K12 - Önkormányzati (irányító szervi) konszolidált beszámoló - Konszolidált mérleg</t>
  </si>
  <si>
    <t>20. melléklet</t>
  </si>
  <si>
    <t>K13 - Önkormányzati (irányító szervi) konszolidált beszámoló - Konszolidált eredménykimutatás</t>
  </si>
  <si>
    <t>21. melléklet</t>
  </si>
  <si>
    <t>22. melléklet</t>
  </si>
  <si>
    <t>Heves Város Önkormányzata tulajdonában álló gazdálkodó szervezetek működéséből származó kötelezettségek, részesedések alakulása</t>
  </si>
  <si>
    <t>23. melléklet</t>
  </si>
  <si>
    <t>Adósság állomány alakulása lejárat, eszközök, bel- és külföldi hitelezők szerinti bontásban</t>
  </si>
  <si>
    <t>24. melléklet</t>
  </si>
  <si>
    <t>25. melléklet</t>
  </si>
  <si>
    <t>Maradványkimutatás</t>
  </si>
  <si>
    <t>26. melléklet</t>
  </si>
  <si>
    <t>Sorszám</t>
  </si>
  <si>
    <t>Konszolidálás előtti összeg</t>
  </si>
  <si>
    <t>Konszolidálás</t>
  </si>
  <si>
    <t>Konszolidált összeg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</si>
  <si>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</si>
  <si>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</si>
  <si>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</si>
  <si>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</si>
  <si>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</si>
  <si>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</si>
  <si>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</si>
  <si>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</si>
  <si>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</si>
  <si>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</si>
  <si>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</si>
  <si>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</si>
  <si>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</si>
  <si>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</si>
  <si>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</si>
  <si>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</si>
  <si>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</si>
  <si>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</si>
  <si>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</si>
  <si>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</si>
  <si>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</si>
  <si>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</si>
  <si>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</si>
  <si>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</si>
  <si>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</si>
  <si>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(&gt;=14) (K1113)</t>
  </si>
  <si>
    <t>14</t>
  </si>
  <si>
    <t>ebből:biztosítási díjak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</si>
  <si>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</si>
  <si>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</si>
  <si>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</si>
  <si>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</si>
  <si>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</si>
  <si>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</si>
  <si>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</si>
  <si>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</si>
  <si>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</si>
  <si>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</si>
  <si>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</si>
  <si>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</si>
  <si>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</si>
  <si>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                                                                          (K2)</t>
  </si>
  <si>
    <t>22</t>
  </si>
  <si>
    <t>ebből: szociális hozzájárulási adó (K2)</t>
  </si>
  <si>
    <t>23</t>
  </si>
  <si>
    <t>ebből: rehabilitációs hozzájárulás (K2)</t>
  </si>
  <si>
    <t>24</t>
  </si>
  <si>
    <t>ebből: egészségügyi hozzájárulás (K2)</t>
  </si>
  <si>
    <t>25</t>
  </si>
  <si>
    <t>ebből: táppénz hozzájárulás (K2)</t>
  </si>
  <si>
    <t>26</t>
  </si>
  <si>
    <t>ebből: munkaadót a foglalkoztatottak részére történő kifizetésekkel kapcsolatban terhelő más járulék jellegű kötelezettségek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</si>
  <si>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</si>
  <si>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</si>
  <si>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</si>
  <si>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</si>
  <si>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</si>
  <si>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</si>
  <si>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30</t>
  </si>
  <si>
    <t>Árubeszerzés (K313)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</si>
  <si>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</si>
  <si>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</si>
  <si>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</si>
  <si>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</si>
  <si>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</si>
  <si>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</si>
  <si>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</si>
  <si>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</si>
  <si>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</si>
  <si>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</si>
  <si>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</si>
  <si>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</si>
  <si>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</si>
  <si>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</si>
  <si>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38</t>
  </si>
  <si>
    <t>ebből: a közszféra és a magánszféra együttműködésén (PPP) alapuló szerződéses konstrukció (K333)</t>
  </si>
  <si>
    <t>39</t>
  </si>
  <si>
    <t>Karbantartási, kisjavítási szolgáltatások (K334)</t>
  </si>
  <si>
    <t>40</t>
  </si>
  <si>
    <t>Közvetített szolgáltatások  (&gt;=41) (K335)</t>
  </si>
  <si>
    <t>41</t>
  </si>
  <si>
    <t>ebből: államháztartáson belül (K335)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</si>
  <si>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</si>
  <si>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</si>
  <si>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</si>
  <si>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</si>
  <si>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</si>
  <si>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</si>
  <si>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</si>
  <si>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</si>
  <si>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</si>
  <si>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</si>
  <si>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</si>
  <si>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</si>
  <si>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</si>
  <si>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</si>
  <si>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</si>
  <si>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</si>
  <si>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</si>
  <si>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Fizetendő általános forgalmi adó  (K352)</t>
  </si>
  <si>
    <t>51</t>
  </si>
  <si>
    <t>Kamatkiadások (&gt;=52+53) (K353)</t>
  </si>
  <si>
    <t>52</t>
  </si>
  <si>
    <t>ebből: államháztartáson belül (K353)</t>
  </si>
  <si>
    <t>53</t>
  </si>
  <si>
    <t>ebből: fedezeti ügyletek kamatkiadásai (K353)</t>
  </si>
  <si>
    <t>54</t>
  </si>
  <si>
    <t>Egyéb pénzügyi műveletek kiadásai (&gt;=55+…+57) (K354)</t>
  </si>
  <si>
    <t>55</t>
  </si>
  <si>
    <t>ebből: valuta, deviza eszközök realizált árfolyamvesztesége (K354)</t>
  </si>
  <si>
    <t>56</t>
  </si>
  <si>
    <t>ebből: hitelviszonyt megtestesítő értékpapírok árfolyamkülönbözete (K354)</t>
  </si>
  <si>
    <t>57</t>
  </si>
  <si>
    <t>ebből: deviza kötelezettségek realizált árfolyamvesztesége (K354)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</si>
  <si>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</si>
  <si>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</si>
  <si>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</si>
  <si>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</si>
  <si>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</si>
  <si>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</si>
  <si>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61</t>
  </si>
  <si>
    <t>62</t>
  </si>
  <si>
    <t>Családi támogatások (=63+…+72) (K42)</t>
  </si>
  <si>
    <t>63</t>
  </si>
  <si>
    <t>ebből: családi pótlék (K42)</t>
  </si>
  <si>
    <t>64</t>
  </si>
  <si>
    <t>ebből: anyasági támogatás (K42)</t>
  </si>
  <si>
    <t>65</t>
  </si>
  <si>
    <t>ebből: gyermekgondozást segítő ellátás (K42)</t>
  </si>
  <si>
    <t>66</t>
  </si>
  <si>
    <t>ebből: gyermeknevelési támogatás (K42)</t>
  </si>
  <si>
    <t>67</t>
  </si>
  <si>
    <t>ebből: gyermekek születésével kapcsolatos szabadság megtérítése (K42)</t>
  </si>
  <si>
    <t>68</t>
  </si>
  <si>
    <t>ebből: életkezdési támogatás (K42)</t>
  </si>
  <si>
    <t>69</t>
  </si>
  <si>
    <t>ebből: otthonteremtési támogatás (K42)</t>
  </si>
  <si>
    <t>70</t>
  </si>
  <si>
    <t>ebből: gyermektartásdíj megelőlegezése (K42)</t>
  </si>
  <si>
    <t>71</t>
  </si>
  <si>
    <t>ebből: GYES-en és GYED-en lévők hallgatói hitelének célzott támogatása (K42)</t>
  </si>
  <si>
    <t>72</t>
  </si>
  <si>
    <t>ebből: az egyéb pénzbeli és természetbeni gyermekvédelmi támogatások  (K42)</t>
  </si>
  <si>
    <t>73</t>
  </si>
  <si>
    <t>74</t>
  </si>
  <si>
    <t>75</t>
  </si>
  <si>
    <t>ebből: ápolási díj (K44)</t>
  </si>
  <si>
    <t>76</t>
  </si>
  <si>
    <t>ebből: fogyatékossági támogatás és vakok személyi járadéka (K44)</t>
  </si>
  <si>
    <t>77</t>
  </si>
  <si>
    <t>ebből: kivételes rokkantsági ellátás (K44)</t>
  </si>
  <si>
    <t>78</t>
  </si>
  <si>
    <t>ebből: mozgáskorlátozottak szerzési és átalakítási támogatása (K44)</t>
  </si>
  <si>
    <t>79</t>
  </si>
  <si>
    <t>ebből: megváltozott munkaképességűek illetve egészségkárosodottak kereset-kiegészítése (K44)</t>
  </si>
  <si>
    <t>80</t>
  </si>
  <si>
    <t>ebből: közgyógyellátás [Szoctv.50.§ (1)-(2) bekezdése] (K44)</t>
  </si>
  <si>
    <t>81</t>
  </si>
  <si>
    <t>ebből: cukorbetegek támogatása (K44)</t>
  </si>
  <si>
    <t>82</t>
  </si>
  <si>
    <t>ebből: egészségügyi szolgáltatási jogosultságra való jogosultság szociális rászorultság alapján [Szoctv. 54. §-a] (K44)</t>
  </si>
  <si>
    <t>83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</si>
  <si>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</si>
  <si>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</si>
  <si>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</si>
  <si>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</si>
  <si>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</si>
  <si>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ebből: átmeneti bányászjáradék (K45)</t>
  </si>
  <si>
    <t>87</t>
  </si>
  <si>
    <t>ebből: szénjárandóság pénzbeli megváltása (K45)</t>
  </si>
  <si>
    <t>88</t>
  </si>
  <si>
    <t>ebből: mecseki bányászatban munkát végzők bányászati kereset-kiegészítése (K45)</t>
  </si>
  <si>
    <t>89</t>
  </si>
  <si>
    <t>ebből: mezőgazdasági járadék (K45)</t>
  </si>
  <si>
    <t>90</t>
  </si>
  <si>
    <t>ebből: foglalkoztatást helyettesítő támogatás [Szoctv. 35. § (1) bek.] (K45)</t>
  </si>
  <si>
    <t>91</t>
  </si>
  <si>
    <t>ebből: polgármesterek korhatár előtti ellátása  (K45)</t>
  </si>
  <si>
    <t>92</t>
  </si>
  <si>
    <t>93</t>
  </si>
  <si>
    <t>ebből: hozzájárulás a lakossági energiaköltségekhez (K46)</t>
  </si>
  <si>
    <t>94</t>
  </si>
  <si>
    <t>ebből: lakbértámogatás (K46)</t>
  </si>
  <si>
    <t>95</t>
  </si>
  <si>
    <t>96</t>
  </si>
  <si>
    <t>ebből: állami gondozottak pénzbeli juttatásai (K47)</t>
  </si>
  <si>
    <t>97</t>
  </si>
  <si>
    <t>ebből: oktatásban résztvevők pénzbeli juttatásai (K47)</t>
  </si>
  <si>
    <t>98</t>
  </si>
  <si>
    <t>99</t>
  </si>
  <si>
    <t>ebből: házastársi pótlék (K48)</t>
  </si>
  <si>
    <t>100</t>
  </si>
  <si>
    <t>ebből: Hadigondozottak Közalapítványát terhelő hadigondozotti ellátások (K48)</t>
  </si>
  <si>
    <t>101</t>
  </si>
  <si>
    <t>ebből: tudományos fokozattal rendelkezők nyugdíjkiegészítése (K48)</t>
  </si>
  <si>
    <t>102</t>
  </si>
  <si>
    <t>ebből: nemzeti gondozotti ellátások (K48)</t>
  </si>
  <si>
    <t>103</t>
  </si>
  <si>
    <t>ebből: nemzeti helytállásért pótlék (K48)</t>
  </si>
  <si>
    <t>104</t>
  </si>
  <si>
    <t>ebből: egyes nyugdíjjogi hátrányok enyhítése miatti (közszolgálati idő után járó) nyugdíj-kiegészítés (K48)</t>
  </si>
  <si>
    <t>105</t>
  </si>
  <si>
    <t>ebből: egyes, tartós időtartamú szabadságelvonást elszenvedettek részére járó juttatás (K48)</t>
  </si>
  <si>
    <t>106</t>
  </si>
  <si>
    <t>ebből: a Nemzet Színésze címet viselő színészek havi életjáradéka, művészeti nyugdíjsegélyek, művészjáradék, balettművészeti életjáradék (K48)</t>
  </si>
  <si>
    <t>107</t>
  </si>
  <si>
    <t>ebből: az elhunyt akadémikusok hozzátartozóinak folyósított özvegyi- és árvaellátás (K48)</t>
  </si>
  <si>
    <t>108</t>
  </si>
  <si>
    <t>ebből: a Nemzet Sportolója címmel járó járadék, olimpiai járadék, idős sportolók szociális támogatása (K48)</t>
  </si>
  <si>
    <t>109</t>
  </si>
  <si>
    <t>ebből: életjáradék termőföldért (K48)</t>
  </si>
  <si>
    <t>110</t>
  </si>
  <si>
    <t>ebből: Bevándorlási és Állampolgársági Hivatal által folyósított ellátások (K48)</t>
  </si>
  <si>
    <t>111</t>
  </si>
  <si>
    <t>ebből: szépkorúak jubileumi juttatása (K48)</t>
  </si>
  <si>
    <t>112</t>
  </si>
  <si>
    <t>ebből: időskorúak járadéka [Szoctv. 32/B. § (1) bekezdése] (K48)</t>
  </si>
  <si>
    <t>113</t>
  </si>
  <si>
    <t>ebből: egyéb, az önkormányzat rendeletében megállapított juttatás (K48)</t>
  </si>
  <si>
    <t>114</t>
  </si>
  <si>
    <t>ebből: köztemetés [Szoctv. 48.§] (K48)</t>
  </si>
  <si>
    <t>115</t>
  </si>
  <si>
    <t>ebből: települési támogatás [Szoctv. 45. §], (K48)</t>
  </si>
  <si>
    <t>116</t>
  </si>
  <si>
    <t>ebből: egészségkárosodási és gyermekfelügyeleti támogatás [Szoctv. 37.§ (1) bekezdés a) és b) pontja] (K48)</t>
  </si>
  <si>
    <t>117</t>
  </si>
  <si>
    <t>ebből: önkormányzat által saját hatáskörben (nem szociális és gyermekvédelmi előírások alapján) adott más ellátás (K48)</t>
  </si>
  <si>
    <t>118</t>
  </si>
  <si>
    <t>119</t>
  </si>
  <si>
    <t>120</t>
  </si>
  <si>
    <t>ebből: Európai Unió (K501)</t>
  </si>
  <si>
    <t>121</t>
  </si>
  <si>
    <t>A helyi önkormányzatok előző évi elszámolásából származó kiadások (K5021)</t>
  </si>
  <si>
    <t>122</t>
  </si>
  <si>
    <t>A helyi önkormányzatok törvényi előíráson alapuló befizetései (K5022)</t>
  </si>
  <si>
    <t>123</t>
  </si>
  <si>
    <t>Egyéb elvonások, befizetések (K5023)</t>
  </si>
  <si>
    <t>124</t>
  </si>
  <si>
    <t>125</t>
  </si>
  <si>
    <t>126</t>
  </si>
  <si>
    <t>127</t>
  </si>
  <si>
    <t>ebből: központi költségvetési szervek (K504)</t>
  </si>
  <si>
    <t>128</t>
  </si>
  <si>
    <t>ebből: központi kezelésű előirányzatok (K504)</t>
  </si>
  <si>
    <t>129</t>
  </si>
  <si>
    <t>ebből: fejezeti kezelésű előirányzatok EU-s programokra és azok hazai társfinanszírozása (K504)</t>
  </si>
  <si>
    <t>130</t>
  </si>
  <si>
    <t>ebből: egyéb fejezeti kezelésű előirányzatok (K504)</t>
  </si>
  <si>
    <t>131</t>
  </si>
  <si>
    <t>ebből: társadalombiztosítás pénzügyi alapjai (K504)</t>
  </si>
  <si>
    <t>132</t>
  </si>
  <si>
    <t>ebből: elkülönített állami pénzalapok (K504)</t>
  </si>
  <si>
    <t>133</t>
  </si>
  <si>
    <t>ebből: helyi önkormányzatok és költségvetési szerveik (K504)</t>
  </si>
  <si>
    <t>134</t>
  </si>
  <si>
    <t>ebből: társulások és költségvetési szerveik (K504)</t>
  </si>
  <si>
    <t>135</t>
  </si>
  <si>
    <t>ebből: nemzetiségi önkormányzatok és költségvetési szerveik (K504)</t>
  </si>
  <si>
    <t>136</t>
  </si>
  <si>
    <t>ebből: térségi fejlesztési tanácsok és költségvetési szerveik (K504)</t>
  </si>
  <si>
    <t>137</t>
  </si>
  <si>
    <t>138</t>
  </si>
  <si>
    <t>ebből: központi költségvetési szervek (K505)</t>
  </si>
  <si>
    <t>139</t>
  </si>
  <si>
    <t>ebből: központi kezelésű előirányzatok (K505)</t>
  </si>
  <si>
    <t>140</t>
  </si>
  <si>
    <t>ebből: fejezeti kezelésű előirányzatok EU-s programokra és azok hazai társfinanszírozása (K505)</t>
  </si>
  <si>
    <t>141</t>
  </si>
  <si>
    <t>ebből: egyéb fejezeti kezelésű előirányzatok (K505)</t>
  </si>
  <si>
    <t>142</t>
  </si>
  <si>
    <t>ebből: társadalombiztosítás pénzügyi alapjai (K505)</t>
  </si>
  <si>
    <t>143</t>
  </si>
  <si>
    <t>ebből: elkülönített állami pénzalapok (K505)</t>
  </si>
  <si>
    <t>144</t>
  </si>
  <si>
    <t>ebből: helyi önkormányzatok és költségvetési szerveik (K505)</t>
  </si>
  <si>
    <t>145</t>
  </si>
  <si>
    <t>ebből: társulások és költségvetési szerveik (K505)</t>
  </si>
  <si>
    <t>146</t>
  </si>
  <si>
    <t>ebből: nemzetiségi önkormányzatok és költségvetési szerveik (K505)</t>
  </si>
  <si>
    <t>147</t>
  </si>
  <si>
    <t>ebből: térségi fejlesztési tanácsok és költségvetési szerveik (K505)</t>
  </si>
  <si>
    <t>148</t>
  </si>
  <si>
    <t>149</t>
  </si>
  <si>
    <t>ebből: központi költségvetési szervek (K506)</t>
  </si>
  <si>
    <t>150</t>
  </si>
  <si>
    <t>ebből: központi kezelésű előirányzatok (K506)</t>
  </si>
  <si>
    <t>151</t>
  </si>
  <si>
    <t>ebből: fejezeti kezelésű előirányzatok EU-s programokra és azok hazai társfinanszírozása (K506)</t>
  </si>
  <si>
    <t>152</t>
  </si>
  <si>
    <t>ebből: egyéb fejezeti kezelésű előirányzatok (K506)</t>
  </si>
  <si>
    <t>153</t>
  </si>
  <si>
    <t>ebből: társadalombiztosítás pénzügyi alapjai (K506)</t>
  </si>
  <si>
    <t>154</t>
  </si>
  <si>
    <t>ebből: elkülönített állami pénzalapok (K506)</t>
  </si>
  <si>
    <t>155</t>
  </si>
  <si>
    <t>ebből: helyi önkormányzatok és költségvetési szerveik (K506)</t>
  </si>
  <si>
    <t>156</t>
  </si>
  <si>
    <t>ebből: társulások és költségvetési szerveik (K506)</t>
  </si>
  <si>
    <t>157</t>
  </si>
  <si>
    <t>ebből: nemzetiségi önkormányzatok és költségvetési szerveik (K506)</t>
  </si>
  <si>
    <t>158</t>
  </si>
  <si>
    <t>ebből: térségi fejlesztési tanácsok és költségvetési szerveik (K506)</t>
  </si>
  <si>
    <t>159</t>
  </si>
  <si>
    <t>160</t>
  </si>
  <si>
    <t>ebből: állami vagy önkormányzati tulajdonban lévő gazdasági társaságok tartozásai miatti kifizetések (K507)</t>
  </si>
  <si>
    <t>161</t>
  </si>
  <si>
    <t>162</t>
  </si>
  <si>
    <t>ebből: egyházi jogi személyek (K508)</t>
  </si>
  <si>
    <t>163</t>
  </si>
  <si>
    <t>ebből: nonprofit gazdasági társaságok (K508)</t>
  </si>
  <si>
    <t>164</t>
  </si>
  <si>
    <t>ebből: egyéb civil szervezetek (K508)</t>
  </si>
  <si>
    <t>165</t>
  </si>
  <si>
    <t>ebből: háztartások (K508)</t>
  </si>
  <si>
    <t>166</t>
  </si>
  <si>
    <t>ebből: pénzügyi vállalkozások (K508)</t>
  </si>
  <si>
    <t>167</t>
  </si>
  <si>
    <t>ebből: állami többségi tulajdonú nem pénzügyi vállalkozások (K508)</t>
  </si>
  <si>
    <t>168</t>
  </si>
  <si>
    <t>ebből: önkormányzati többségi tulajdonú nem pénzügyi vállalkozások (K508)</t>
  </si>
  <si>
    <t>169</t>
  </si>
  <si>
    <t>ebből: egyéb vállalkozások (K508)</t>
  </si>
  <si>
    <t>170</t>
  </si>
  <si>
    <t>ebből: Európai Unió  (K508)</t>
  </si>
  <si>
    <t>171</t>
  </si>
  <si>
    <t>ebből: kormányok és nemzetközi szervezetek (K508)</t>
  </si>
  <si>
    <t>172</t>
  </si>
  <si>
    <t>ebből: egyéb külföldiek (K508)</t>
  </si>
  <si>
    <t>173</t>
  </si>
  <si>
    <t>174</t>
  </si>
  <si>
    <t>175</t>
  </si>
  <si>
    <t>176</t>
  </si>
  <si>
    <t>177</t>
  </si>
  <si>
    <t>ebből: egyházi jogi személyek (K512)</t>
  </si>
  <si>
    <t>178</t>
  </si>
  <si>
    <t>ebből: nonprofit gazdasági társaságok (K512)</t>
  </si>
  <si>
    <t>179</t>
  </si>
  <si>
    <t>ebből: egyéb civil szervezetek (K512)</t>
  </si>
  <si>
    <t>180</t>
  </si>
  <si>
    <t>ebből: háztartások (K512)</t>
  </si>
  <si>
    <t>181</t>
  </si>
  <si>
    <t>ebből: pénzügyi vállalkozások (K512)</t>
  </si>
  <si>
    <t>182</t>
  </si>
  <si>
    <t>ebből: állami többségi tulajdonú nem pénzügyi vállalkozások (K512)</t>
  </si>
  <si>
    <t>183</t>
  </si>
  <si>
    <t>ebből: önkormányzati többségi tulajdonú nem pénzügyi vállalkozások (K512)</t>
  </si>
  <si>
    <t>184</t>
  </si>
  <si>
    <t>ebből: egyéb vállalkozások (K512)</t>
  </si>
  <si>
    <t>185</t>
  </si>
  <si>
    <t>ebből: kormányok és nemzetközi szervezetek (K512)</t>
  </si>
  <si>
    <t>186</t>
  </si>
  <si>
    <t>ebből: egyéb külföldiek (K512)</t>
  </si>
  <si>
    <t>187</t>
  </si>
  <si>
    <t>Tartalékok (K513)</t>
  </si>
  <si>
    <t>188</t>
  </si>
  <si>
    <t>189</t>
  </si>
  <si>
    <t>190</t>
  </si>
  <si>
    <t>191</t>
  </si>
  <si>
    <t>ebből: termőföld-vásárlás kiadásai (K62)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</si>
  <si>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</si>
  <si>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</si>
  <si>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</si>
  <si>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</si>
  <si>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</si>
  <si>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</si>
  <si>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</si>
  <si>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</si>
  <si>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</si>
  <si>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</si>
  <si>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</si>
  <si>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</si>
  <si>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</si>
  <si>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</si>
  <si>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ebből: központi költségvetési szervek (K82)</t>
  </si>
  <si>
    <t>206</t>
  </si>
  <si>
    <t>ebből: központi kezelésű előirányzatok (K82)</t>
  </si>
  <si>
    <t>207</t>
  </si>
  <si>
    <t>ebből: fejezeti kezelésű előirányzatok EU-s programokra és azok hazai társfinanszírozása (K82)</t>
  </si>
  <si>
    <t>208</t>
  </si>
  <si>
    <t>ebből: egyéb fejezeti kezelésű előirányzatok (K82)</t>
  </si>
  <si>
    <t>209</t>
  </si>
  <si>
    <t>ebből: társadalombiztosítás pénzügyi alapjai (K82)</t>
  </si>
  <si>
    <t>210</t>
  </si>
  <si>
    <t>ebből: elkülönített állami pénzalapok (K82)</t>
  </si>
  <si>
    <t>211</t>
  </si>
  <si>
    <t>ebből: helyi önkormányzatok és költségvetési szerveik (K82)</t>
  </si>
  <si>
    <t>212</t>
  </si>
  <si>
    <t>ebből: társulások és költségvetési szerveik (K82)</t>
  </si>
  <si>
    <t>213</t>
  </si>
  <si>
    <t>ebből: nemzetiségi önkormányzatok és költségvetési szerveik (K82)</t>
  </si>
  <si>
    <t>214</t>
  </si>
  <si>
    <t>ebből: térségi fejlesztési tanácsok és költségvetési szerveik (K82)</t>
  </si>
  <si>
    <t>215</t>
  </si>
  <si>
    <t>216</t>
  </si>
  <si>
    <t>ebből: központi költségvetési szervek (K83)</t>
  </si>
  <si>
    <t>217</t>
  </si>
  <si>
    <t>ebből: központi kezelésű előirányzatok (K83)</t>
  </si>
  <si>
    <t>218</t>
  </si>
  <si>
    <t>ebből: fejezeti kezelésű előirányzatok EU-s programokra és azok hazai társfinanszírozása (K83)</t>
  </si>
  <si>
    <t>219</t>
  </si>
  <si>
    <t>ebből: egyéb fejezeti kezelésű előirányzatok (K83)</t>
  </si>
  <si>
    <t>220</t>
  </si>
  <si>
    <t>ebből: társadalombiztosítás pénzügyi alapjai (K83)</t>
  </si>
  <si>
    <t>221</t>
  </si>
  <si>
    <t>ebből: elkülönített állami pénzalapok (K83)</t>
  </si>
  <si>
    <t>222</t>
  </si>
  <si>
    <t>ebből: helyi önkormányzatok és költségvetési szerveik (K83)</t>
  </si>
  <si>
    <t>223</t>
  </si>
  <si>
    <t>ebből: társulások és költségvetési szerveik (K83)</t>
  </si>
  <si>
    <t>224</t>
  </si>
  <si>
    <t>ebből: nemzetiségi önkormányzatok és költségvetési szerveik (K83)</t>
  </si>
  <si>
    <t>225</t>
  </si>
  <si>
    <t>ebből: térségi fejlesztési tanácsok és költségvetési szerveik (K83)</t>
  </si>
  <si>
    <t>226</t>
  </si>
  <si>
    <t>227</t>
  </si>
  <si>
    <t>ebből: központi költségvetési szervek (K84)</t>
  </si>
  <si>
    <t>228</t>
  </si>
  <si>
    <t>ebből: központi kezelésű előirányzatok (K84)</t>
  </si>
  <si>
    <t>229</t>
  </si>
  <si>
    <t>ebből: fejezeti kezelésű előirányzatok EU-s programokra és azok hazai társfinanszírozása (K84)</t>
  </si>
  <si>
    <t>230</t>
  </si>
  <si>
    <t>ebből: egyéb fejezeti kezelésű előirányzatok (K84)</t>
  </si>
  <si>
    <t>231</t>
  </si>
  <si>
    <t>ebből: társadalombiztosítás pénzügyi alapjai (K84)</t>
  </si>
  <si>
    <t>232</t>
  </si>
  <si>
    <t>ebből: elkülönített állami pénzalapok (K84)</t>
  </si>
  <si>
    <t>233</t>
  </si>
  <si>
    <t>ebből: helyi önkormányzatok és költségvetési szerveik (K84)</t>
  </si>
  <si>
    <t>234</t>
  </si>
  <si>
    <t>ebből: társulások és költségvetési szerveik (K84)</t>
  </si>
  <si>
    <t>235</t>
  </si>
  <si>
    <t>ebből: nemzetiségi önkormányzatok és költségvetési szerveik (K84)</t>
  </si>
  <si>
    <t>236</t>
  </si>
  <si>
    <t>ebből: térségi fejlesztési tanácsok és költségvetési szerveik (K84)</t>
  </si>
  <si>
    <t>237</t>
  </si>
  <si>
    <t>238</t>
  </si>
  <si>
    <t>ebből: állami vagy önkormányzati tulajdonban lévő gazdasági társaságok tartozásai miatti kifizetések (K85)</t>
  </si>
  <si>
    <t>239</t>
  </si>
  <si>
    <t>240</t>
  </si>
  <si>
    <t>ebből: egyházi jogi személyek (K86)</t>
  </si>
  <si>
    <t>241</t>
  </si>
  <si>
    <t>ebből: nonprofit gazdasági társaságok (K86)</t>
  </si>
  <si>
    <t>242</t>
  </si>
  <si>
    <t>ebből: egyéb civil szervezetek (K86)</t>
  </si>
  <si>
    <t>243</t>
  </si>
  <si>
    <t>ebből: háztartások (K86)</t>
  </si>
  <si>
    <t>244</t>
  </si>
  <si>
    <t>ebből: pénzügyi vállalkozások (K86)</t>
  </si>
  <si>
    <t>245</t>
  </si>
  <si>
    <t>ebből: állami többségi tulajdonú nem pénzügyi vállalkozások (K86)</t>
  </si>
  <si>
    <t>246</t>
  </si>
  <si>
    <t>ebből: önkormányzati többségi tulajdonú nem pénzügyi vállalkozások (K86)</t>
  </si>
  <si>
    <t>247</t>
  </si>
  <si>
    <t>ebből: egyéb vállalkozások (K86)</t>
  </si>
  <si>
    <t>248</t>
  </si>
  <si>
    <t>ebből: Európai Unió  (K86)</t>
  </si>
  <si>
    <t>249</t>
  </si>
  <si>
    <t>ebből: kormányok és nemzetközi szervezetek (K86)</t>
  </si>
  <si>
    <t>250</t>
  </si>
  <si>
    <t>ebből: egyéb külföldiek (K86)</t>
  </si>
  <si>
    <t>251</t>
  </si>
  <si>
    <t>252</t>
  </si>
  <si>
    <t>253</t>
  </si>
  <si>
    <t>254</t>
  </si>
  <si>
    <t>ebből: egyházi jogi személyek (K89)</t>
  </si>
  <si>
    <t>255</t>
  </si>
  <si>
    <t>ebből: nonprofit gazdasági társaságok (K89)</t>
  </si>
  <si>
    <t>256</t>
  </si>
  <si>
    <t>ebből: egyéb civil szervezetek (K89)</t>
  </si>
  <si>
    <t>257</t>
  </si>
  <si>
    <t>ebből: háztartások (K89)</t>
  </si>
  <si>
    <t>258</t>
  </si>
  <si>
    <t>ebből: pénzügyi vállalkozások (K89)</t>
  </si>
  <si>
    <t>259</t>
  </si>
  <si>
    <t>ebből: állami többségi tulajdonú nem pénzügyi vállalkozások (K89)</t>
  </si>
  <si>
    <t>260</t>
  </si>
  <si>
    <t>ebből: önkormányzati többségi tulajdonú nem pénzügyi vállalkozások (K89)</t>
  </si>
  <si>
    <t>261</t>
  </si>
  <si>
    <t>ebből: egyéb vállalkozások (K89)</t>
  </si>
  <si>
    <t>262</t>
  </si>
  <si>
    <t>ebből: kormányok és nemzetközi szervezetek (K89)</t>
  </si>
  <si>
    <t>263</t>
  </si>
  <si>
    <t>ebből: egyéb külföldiek (K89)</t>
  </si>
  <si>
    <t>264</t>
  </si>
  <si>
    <t>265</t>
  </si>
  <si>
    <t>Települési önkormányzatok szociális, gyermekjóléti  és gyermekétkeztetési feladatainak támogatása (B113)</t>
  </si>
  <si>
    <t>Önkormányzatok működési támogatásai (=01+…+06) (B11)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</si>
  <si>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</si>
  <si>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</si>
  <si>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</si>
  <si>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</si>
  <si>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</si>
  <si>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</si>
  <si>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</si>
  <si>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</si>
  <si>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</si>
  <si>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</si>
  <si>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</si>
  <si>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</si>
  <si>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</si>
  <si>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</si>
  <si>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</si>
  <si>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</si>
  <si>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</si>
  <si>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</si>
  <si>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</si>
  <si>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</si>
  <si>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</si>
  <si>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</si>
  <si>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</si>
  <si>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</si>
  <si>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</si>
  <si>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</si>
  <si>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</si>
  <si>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</si>
  <si>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</si>
  <si>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</si>
  <si>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</si>
  <si>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</si>
  <si>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</si>
  <si>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</si>
  <si>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</si>
  <si>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</si>
  <si>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</si>
  <si>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</si>
  <si>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</si>
  <si>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</si>
  <si>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</si>
  <si>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</si>
  <si>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</si>
  <si>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</si>
  <si>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</si>
  <si>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</si>
  <si>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</si>
  <si>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</si>
  <si>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</si>
  <si>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</si>
  <si>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</si>
  <si>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</si>
  <si>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</si>
  <si>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</si>
  <si>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</si>
  <si>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</si>
  <si>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</si>
  <si>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</si>
  <si>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</si>
  <si>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</si>
  <si>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</si>
  <si>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</si>
  <si>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</si>
  <si>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</si>
  <si>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</si>
  <si>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</si>
  <si>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</si>
  <si>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</si>
  <si>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</si>
  <si>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</si>
  <si>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</si>
  <si>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</si>
  <si>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hiteintézeti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</si>
  <si>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</si>
  <si>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</si>
  <si>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</si>
  <si>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</si>
  <si>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</si>
  <si>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</si>
  <si>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</si>
  <si>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</si>
  <si>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</si>
  <si>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</si>
  <si>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</si>
  <si>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</si>
  <si>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</si>
  <si>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</si>
  <si>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</si>
  <si>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</si>
  <si>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</si>
  <si>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</si>
  <si>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</si>
  <si>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</si>
  <si>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</si>
  <si>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</si>
  <si>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</si>
  <si>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</si>
  <si>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</si>
  <si>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</si>
  <si>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</si>
  <si>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</si>
  <si>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</si>
  <si>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</si>
  <si>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</si>
  <si>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</si>
  <si>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</si>
  <si>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</si>
  <si>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</si>
  <si>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</si>
  <si>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</si>
  <si>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gyógyszertámogatás többletének sávos kockázatviseléséből származó bevételek [2006. évi XCVIII. tv. 42. § 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</si>
  <si>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</si>
  <si>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</si>
  <si>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</si>
  <si>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</si>
  <si>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</si>
  <si>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</si>
  <si>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jövedéki adó (B352)</t>
  </si>
  <si>
    <t>ebből: regisztrációs adó (B352)</t>
  </si>
  <si>
    <t>ebből: turizmusfejlesztési hozzájárulás (B352)</t>
  </si>
  <si>
    <t>Pénzügyi monopóliumok nyereségét terhelő adók  (B353)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</si>
  <si>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</si>
  <si>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</si>
  <si>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</si>
  <si>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</si>
  <si>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</si>
  <si>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</si>
  <si>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</si>
  <si>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</si>
  <si>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</si>
  <si>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</si>
  <si>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</si>
  <si>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</si>
  <si>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</si>
  <si>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</si>
  <si>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</si>
  <si>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</si>
  <si>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</si>
  <si>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</si>
  <si>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</si>
  <si>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</si>
  <si>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ebből: cégnyilvántartás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</si>
  <si>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</si>
  <si>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</si>
  <si>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</si>
  <si>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</si>
  <si>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</si>
  <si>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</si>
  <si>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</si>
  <si>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</si>
  <si>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</si>
  <si>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</si>
  <si>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</si>
  <si>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</si>
  <si>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</si>
  <si>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</si>
  <si>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ebből: önkormányzat által beszedett talajterhelési díj (B36)</t>
  </si>
  <si>
    <t>ebből: előrehozott helyi adó (B36)</t>
  </si>
  <si>
    <t>Készletértékesítés ellenértéke (B401)</t>
  </si>
  <si>
    <t>ebből: tárgyi eszközök bérbeadásából származó bevétel (B402)</t>
  </si>
  <si>
    <t>ebből: utak használata ellenében beszedett használati díj, pótdíj, elektronikus útdíj (B402)</t>
  </si>
  <si>
    <t>ebből: államháztartáson belül (B403)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</si>
  <si>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</si>
  <si>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</si>
  <si>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</si>
  <si>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</si>
  <si>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önkormányzati többségi tulajdonú vállalkozástól kapott osztalék (B404)</t>
  </si>
  <si>
    <t>ebből: egyéb részesedések után kapott osztalék (B404)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</si>
  <si>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</si>
  <si>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</si>
  <si>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</si>
  <si>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ebből: fedezeti ügyletek kamatbevételei (B4082)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</si>
  <si>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</si>
  <si>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</si>
  <si>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</si>
  <si>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</si>
  <si>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</si>
  <si>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</si>
  <si>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</si>
  <si>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</si>
  <si>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ebből: kiotói egységek és kibocsátási egységek eladásából befolyt eladási ár (B51)</t>
  </si>
  <si>
    <t>ebből: termőföld-eladás bevételei (B52)</t>
  </si>
  <si>
    <t>ebből: privatizációból származó bevétel (B54)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</si>
  <si>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</si>
  <si>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</si>
  <si>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</si>
  <si>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</si>
  <si>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</si>
  <si>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</si>
  <si>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 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</si>
  <si>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</si>
  <si>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</si>
  <si>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</si>
  <si>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</si>
  <si>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</si>
  <si>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</si>
  <si>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</si>
  <si>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</si>
  <si>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 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</si>
  <si>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</si>
  <si>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</si>
  <si>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</si>
  <si>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</si>
  <si>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</si>
  <si>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</si>
  <si>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</si>
  <si>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</si>
  <si>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266</t>
  </si>
  <si>
    <t>ebből: pénzügyi vállalkozások (B74)</t>
  </si>
  <si>
    <t>267</t>
  </si>
  <si>
    <t>ebből: állami többségi tulajdonú nem pénzügyi vállalkozások (B74)</t>
  </si>
  <si>
    <t>268</t>
  </si>
  <si>
    <t>ebből: önkormányzati többségi tulajdonú nem pénzügyi vállalkozások (B74)</t>
  </si>
  <si>
    <t>269</t>
  </si>
  <si>
    <t>ebből: egyéb vállalkozások (B74)</t>
  </si>
  <si>
    <t>270</t>
  </si>
  <si>
    <t>ebből: külföldi szervezetek, személyek (B74)</t>
  </si>
  <si>
    <t>271</t>
  </si>
  <si>
    <t>272</t>
  </si>
  <si>
    <t>ebből: egyházi jogi személyek (B75)</t>
  </si>
  <si>
    <t>273</t>
  </si>
  <si>
    <t>ebből: nonprofit gazdasági társaságok (B75)</t>
  </si>
  <si>
    <t>274</t>
  </si>
  <si>
    <t>ebből: egyéb civil szervezetek (B75)</t>
  </si>
  <si>
    <t>275</t>
  </si>
  <si>
    <t>ebből: háztartások (B75)</t>
  </si>
  <si>
    <t>276</t>
  </si>
  <si>
    <t>ebből: pénzügyi vállalkozások (B75)</t>
  </si>
  <si>
    <t>277</t>
  </si>
  <si>
    <t>ebből: állami többségi tulajdonú nem pénzügyi vállalkozások (B75)</t>
  </si>
  <si>
    <t>278</t>
  </si>
  <si>
    <t>ebből: önkormányzati többségi tulajdonú nem pénzügyi vállalkozások (B75)</t>
  </si>
  <si>
    <t>279</t>
  </si>
  <si>
    <t>ebből: egyéb vállalkozások (B75)</t>
  </si>
  <si>
    <t>280</t>
  </si>
  <si>
    <t>ebből: Európai Unió  (B75)</t>
  </si>
  <si>
    <t>281</t>
  </si>
  <si>
    <t>ebből: kormányok és nemzetközi szervezetek (B75)</t>
  </si>
  <si>
    <t>282</t>
  </si>
  <si>
    <t>ebből: egyéb külföldiek (B75)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</si>
  <si>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</si>
  <si>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</si>
  <si>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</si>
  <si>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</si>
  <si>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</si>
  <si>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</si>
  <si>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</si>
  <si>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</si>
  <si>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</si>
  <si>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</si>
  <si>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</si>
  <si>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</si>
  <si>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</si>
  <si>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</si>
  <si>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</si>
  <si>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</si>
  <si>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</si>
  <si>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</si>
  <si>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</si>
  <si>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Pénzeszközök lekötött bankbetétként elhelyezése (K916)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</si>
  <si>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</si>
  <si>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</si>
  <si>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</si>
  <si>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</si>
  <si>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</si>
  <si>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</si>
  <si>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</si>
  <si>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</si>
  <si>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</si>
  <si>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</si>
  <si>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</si>
  <si>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</si>
  <si>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Finanszírozási kiadások (=29+37+38+39) (K9)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</si>
  <si>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</si>
  <si>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</si>
  <si>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</si>
  <si>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</si>
  <si>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</si>
  <si>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</si>
  <si>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</si>
  <si>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</si>
  <si>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</si>
  <si>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</si>
  <si>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</si>
  <si>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</si>
  <si>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</si>
  <si>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</si>
  <si>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Lekötött bankbetétek megszüntetése (B817)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</si>
  <si>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</si>
  <si>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</si>
  <si>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</si>
  <si>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</si>
  <si>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</si>
  <si>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</si>
  <si>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</si>
  <si>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</si>
  <si>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</si>
  <si>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</si>
  <si>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Finanszírozási bevételek (=23+29+30+31) (B8)</t>
  </si>
  <si>
    <t>A/I Immateriális javak (=A/I/1+A/I/2+A/I/3)</t>
  </si>
  <si>
    <t>A/II Tárgyi eszközök  (=A/II/1+...+A/II/5)</t>
  </si>
  <si>
    <t>A/III Befektetett pénzügyi eszközök (=A/III/1+A/III/2+A/III/3)</t>
  </si>
  <si>
    <t>A/IV Koncesszióba, vagyonkezelésbe adott eszközök (=A/IV/1+A/IV/2)</t>
  </si>
  <si>
    <t>A) NEMZETI VAGYONBA TARTOZÓ BEFEKTETETT ESZKÖZÖK (=A/I+A/II+A/III+A/IV)</t>
  </si>
  <si>
    <t>B/I Készletek (=B/I/1+…+B/I/5)</t>
  </si>
  <si>
    <t>B/II Értékpapírok (=B/II/1+B/II/2)</t>
  </si>
  <si>
    <t>B) NEMZETI VAGYONBA TARTOZÓ FORGÓESZKÖZÖK (= B/I+B/II)</t>
  </si>
  <si>
    <t>C/I Lekötött bankbetétek (=C/I/1+…+C/I/2)</t>
  </si>
  <si>
    <t>C/II Pénztárak, csekkek, betétkönyvek (=C/II/1+C/II/2+C/II/3)</t>
  </si>
  <si>
    <t>C/III-IV. Forintszámlák és Devizaszámlák (=C/III/1+C/III/2+CIV/1+C/IV/2)</t>
  </si>
  <si>
    <t>C) PÉNZESZKÖZÖK (=C/I+…+C/IV)</t>
  </si>
  <si>
    <t>D/I Költségvetési évben esedékes követelések (=D/I/1+…+D/I/8)</t>
  </si>
  <si>
    <t>D/II Költségvetési évet követően esedékes követelések (=D/II/1+…+D/II/8)</t>
  </si>
  <si>
    <t>D/III Követelés jellegű sajátos elszámolások (=D/III/1+…+D/III/9)</t>
  </si>
  <si>
    <t>D) KÖVETELÉSEK  (=D/I+D/II+D/III)</t>
  </si>
  <si>
    <t>E) EGYÉB SAJÁTOS ELSZÁMOLÁSOK (=E/I+…+E/II)</t>
  </si>
  <si>
    <t>F) AKTÍV IDŐBELI  ELHATÁROLÁSOK  (=F/1+F/2+F/3)</t>
  </si>
  <si>
    <t>ESZKÖZÖK ÖSSZESEN (=A+B+C+D+E+F)</t>
  </si>
  <si>
    <t>G/I-III Nemzeti vagyon és egyéb eszközök induláskori értéke és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</si>
  <si>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</si>
  <si>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</si>
  <si>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</si>
  <si>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</si>
  <si>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 Költségvetési évben esedékes kötelezettségek (=H/I/1+…+H/I/9)</t>
  </si>
  <si>
    <t>H/II Költségvetési évet követően esedékes kötelezettségek (=H/II/1+…+H/II/9)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</si>
  <si>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</si>
  <si>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</si>
  <si>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</si>
  <si>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</si>
  <si>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</si>
  <si>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</si>
  <si>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</si>
  <si>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</si>
  <si>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</si>
  <si>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</si>
  <si>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</si>
  <si>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</si>
  <si>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</si>
  <si>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</si>
  <si>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</si>
  <si>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</si>
  <si>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</si>
  <si>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</si>
  <si>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</si>
  <si>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</si>
  <si>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</si>
  <si>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</si>
  <si>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</si>
  <si>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</si>
  <si>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</si>
  <si>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</si>
  <si>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</si>
  <si>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</si>
  <si>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</si>
  <si>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</si>
  <si>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</si>
  <si>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</si>
  <si>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</si>
  <si>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</si>
  <si>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</si>
  <si>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</si>
  <si>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</si>
  <si>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</si>
  <si>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</si>
  <si>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</si>
  <si>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</si>
  <si>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</si>
  <si>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</si>
  <si>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</si>
  <si>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</si>
  <si>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</si>
  <si>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</si>
  <si>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</si>
  <si>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MÉRLEG SZERINTI EREDMÉNY (=±A±B)</t>
  </si>
  <si>
    <t xml:space="preserve"> HEVES VÁROS ÖNKORMÁNYZATA </t>
  </si>
  <si>
    <t>VAGYONKIMUTATÁS</t>
  </si>
  <si>
    <t>(Nettó érték) E Ft</t>
  </si>
  <si>
    <t>(Bruttó érték) E Ft</t>
  </si>
  <si>
    <t>ESZKÖZÖK</t>
  </si>
  <si>
    <t>Törzsvagyon</t>
  </si>
  <si>
    <t>Üzleti vagyon</t>
  </si>
  <si>
    <r>
      <t xml:space="preserve">„0”-ra leírt eszközök, a használatban lévő kisértékű immateriális javak, tárgyi eszközök, készletek </t>
    </r>
    <r>
      <rPr>
        <b/>
        <i/>
        <sz val="10"/>
        <rFont val="Times New Roman"/>
        <family val="1"/>
        <charset val="238"/>
      </rPr>
      <t>bruttó</t>
    </r>
    <r>
      <rPr>
        <i/>
        <sz val="10"/>
        <rFont val="Times New Roman"/>
        <family val="1"/>
        <charset val="238"/>
      </rPr>
      <t xml:space="preserve"> értéke</t>
    </r>
  </si>
  <si>
    <r>
      <t xml:space="preserve">a 01-02. számlacsoportban nyilvántartott eszközök </t>
    </r>
    <r>
      <rPr>
        <b/>
        <i/>
        <sz val="10"/>
        <rFont val="Times New Roman"/>
        <family val="1"/>
        <charset val="238"/>
      </rPr>
      <t>bruttó</t>
    </r>
    <r>
      <rPr>
        <i/>
        <sz val="10"/>
        <rFont val="Times New Roman"/>
        <family val="1"/>
        <charset val="238"/>
      </rPr>
      <t xml:space="preserve"> értéke</t>
    </r>
  </si>
  <si>
    <t>Forgalom-képtelen</t>
  </si>
  <si>
    <t>Nemzetgazdasági szempontból kiemelt jelentőségű</t>
  </si>
  <si>
    <t>Korlátozottan forgalomképes</t>
  </si>
  <si>
    <t>A) Nemzeti vagyonba tartozó befektetett eszközök</t>
  </si>
  <si>
    <t xml:space="preserve">     I. Immateriális javak</t>
  </si>
  <si>
    <t xml:space="preserve">    II. Tárgyi eszközök</t>
  </si>
  <si>
    <t>1. Ingatlanok és a kapcsolodó vagyonértékű jogok</t>
  </si>
  <si>
    <t>2. Gépek, berendezések, felszerelések, járművek</t>
  </si>
  <si>
    <t>3. Tenyészállatok</t>
  </si>
  <si>
    <t>4. Beruházások, felújítások</t>
  </si>
  <si>
    <t>5. Tárgyi eszközök értékhelyesbítése</t>
  </si>
  <si>
    <t xml:space="preserve">   III. Befektetett pénzügyi eszközök</t>
  </si>
  <si>
    <t>1. Tartós részesedések</t>
  </si>
  <si>
    <t>2. Tartós hitelviszonyt megtestesítő értékpapír</t>
  </si>
  <si>
    <t>3. Befektetett pénzügyi eszközök értékhelyesbítése</t>
  </si>
  <si>
    <t xml:space="preserve">   IV. Koncesszióba, vagyonkezelésbe adott eszközök</t>
  </si>
  <si>
    <t>B) Nemzeti vagyonba tartozó forgóeszközök</t>
  </si>
  <si>
    <t>I. Készletek</t>
  </si>
  <si>
    <t>II. Értékpapírok</t>
  </si>
  <si>
    <t>C) Pénzeszközök</t>
  </si>
  <si>
    <t>I. Lekötött bankbetétek</t>
  </si>
  <si>
    <t>II. Pénztárak, csekkek, betétkönyvek</t>
  </si>
  <si>
    <t>III. Forintszámlák</t>
  </si>
  <si>
    <t>IV. Devizaszámlák</t>
  </si>
  <si>
    <t>D) Követelések</t>
  </si>
  <si>
    <t>I. Költségvetési évben esedékes követelések</t>
  </si>
  <si>
    <t>II. Költségvetési évet követően esedékes követelések</t>
  </si>
  <si>
    <t>III. Követelés jellegű sajátos elszámolások</t>
  </si>
  <si>
    <t>E) Egyéb sajátos elszámolások</t>
  </si>
  <si>
    <t>F) Aktív időbeli elhatárolások</t>
  </si>
  <si>
    <t>ESZKÖZÖK ÖSSZESEN :</t>
  </si>
  <si>
    <t xml:space="preserve"> </t>
  </si>
  <si>
    <t xml:space="preserve"> FORRÁSOK</t>
  </si>
  <si>
    <t>G) Saját tőke</t>
  </si>
  <si>
    <t>I. Nemzeti vagyon induláskori értéke</t>
  </si>
  <si>
    <t>II. Nemzeti vagyon változásai</t>
  </si>
  <si>
    <t>III.  Egyéb eszközök induláskori értéke és változásai</t>
  </si>
  <si>
    <t>IV. Felhalmozott eredmény</t>
  </si>
  <si>
    <t>V. Eszközök értékhelyesbítésének forrása</t>
  </si>
  <si>
    <t>VI. Mérleg szerinti eredmény</t>
  </si>
  <si>
    <t>H)  Kötelezettségek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</si>
  <si>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</si>
  <si>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</si>
  <si>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</si>
  <si>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I)  Kincstári számlavezetéssel kapcsolatos elszámolások</t>
  </si>
  <si>
    <t>J)  Passzív időbeli elhatárolások</t>
  </si>
  <si>
    <t>FORRÁSOK ÖSSZESEN:</t>
  </si>
  <si>
    <t>Mérlegben nem szereplő függő és biztos (jövőbeni) követelések:</t>
  </si>
  <si>
    <t>E Ft</t>
  </si>
  <si>
    <t xml:space="preserve"> - Munkáltatói lakáskölcsönök (késedelmi) kamata</t>
  </si>
  <si>
    <t xml:space="preserve"> - Gépjármű adó megosztásából még várható bevétel (központi költségvetést megillető rész)</t>
  </si>
  <si>
    <t>Mérlegben nem szereplő függő kötelezettségek:</t>
  </si>
  <si>
    <t xml:space="preserve"> - TOP-3.1.1-15-HE1-2016-00006 Kerékpárút fejlesztése Heves városában pályázat támogatási előleg</t>
  </si>
  <si>
    <t xml:space="preserve"> - TOP-3.1.1-15-HE1-2016-00007 Kerékpáros fejlesztés Boconád, Heves és Tarnaméra községekben pályázat támogatási előleg</t>
  </si>
  <si>
    <t xml:space="preserve"> - TOP-1.2.1-15-HE1-2016-00005 a Halász-kúria turisztikai fejlesztése Heves Városban pályázat támogatási előleg</t>
  </si>
  <si>
    <t xml:space="preserve"> - TOP-2.1.2-15-HE1-2016-00004 Heves Város Zöld szíve pályázat támogatási előleg</t>
  </si>
  <si>
    <t>Az Nvt. 1. § (2) bekezdés g) és h) pontja szerinti kulturális javak és régészeti leletek állománya</t>
  </si>
  <si>
    <t>Gazdálkodó szervezet megnevezése</t>
  </si>
  <si>
    <t>2018.12.31-i részesedés összege</t>
  </si>
  <si>
    <t>Részesedés aránya</t>
  </si>
  <si>
    <t>Heves Média Nonprofit Kft.</t>
  </si>
  <si>
    <t>Hevesi Önkormányzati Vagyonkezelő Kft.</t>
  </si>
  <si>
    <t>Hevesi Iparfejlesztési Nonprofit Kft. (korábban Eszhevár Kft.)</t>
  </si>
  <si>
    <t>Fejlesztési és Koordinációs Közp. Nonprofit Kft.</t>
  </si>
  <si>
    <t>REGIO-KOM Társulás</t>
  </si>
  <si>
    <t>Heves Megyei Vízmű Zrt.</t>
  </si>
  <si>
    <t>önk</t>
  </si>
  <si>
    <t>hköh</t>
  </si>
  <si>
    <t>hvóbki</t>
  </si>
  <si>
    <t>mősz</t>
  </si>
  <si>
    <t>hvgykcssz</t>
  </si>
  <si>
    <t>Adósságállomány eszközök szerint</t>
  </si>
  <si>
    <t>Nem lejárt</t>
  </si>
  <si>
    <t>Lejárt</t>
  </si>
  <si>
    <t>Nem lejárt, lejárt összes tartozás</t>
  </si>
  <si>
    <t>1-30 nap közötti állomány</t>
  </si>
  <si>
    <t>31-60 nap közötti állomány</t>
  </si>
  <si>
    <t>61-90 nap közötti állomány</t>
  </si>
  <si>
    <t>91-180 nap közötti állomány</t>
  </si>
  <si>
    <t>181-360 nap közötti állomány</t>
  </si>
  <si>
    <t>360 napon túli</t>
  </si>
  <si>
    <t>Összes lejárt tartozás</t>
  </si>
  <si>
    <t>10=(4+…+9)</t>
  </si>
  <si>
    <t>11=(3+10)</t>
  </si>
  <si>
    <t>I. Belföldi hitelezők</t>
  </si>
  <si>
    <t>Adóhatósággal szembeni tartozások</t>
  </si>
  <si>
    <t>Szállítói tartozás *</t>
  </si>
  <si>
    <t>Egyéb adósság **</t>
  </si>
  <si>
    <t>Belföldi összesen:</t>
  </si>
  <si>
    <t>II. Külföldi hitelezők</t>
  </si>
  <si>
    <t>Külföldi szállítók</t>
  </si>
  <si>
    <t>Egyéb adósság</t>
  </si>
  <si>
    <t>Külföldi összesen:</t>
  </si>
  <si>
    <t>Adósságállomány mindösszesen:</t>
  </si>
  <si>
    <t>eu</t>
  </si>
  <si>
    <t>adósság</t>
  </si>
  <si>
    <t>felh</t>
  </si>
  <si>
    <t>felh eu</t>
  </si>
  <si>
    <t>felh ad</t>
  </si>
  <si>
    <t>műk</t>
  </si>
  <si>
    <t>tévi</t>
  </si>
  <si>
    <t>kévi</t>
  </si>
  <si>
    <t>Tartozások hitelfelvételből és kötvénykibocsátásból</t>
  </si>
  <si>
    <t>S.sz.</t>
  </si>
  <si>
    <t>Pénzintézet</t>
  </si>
  <si>
    <t>Hitel megnevezése</t>
  </si>
  <si>
    <t>Hitelfelvétel időpontja (szerződés kötés időpontja)</t>
  </si>
  <si>
    <t>Lejárata</t>
  </si>
  <si>
    <t>Felvett hitel összege v. kerete</t>
  </si>
  <si>
    <t>2018.12.31-i állomány</t>
  </si>
  <si>
    <t>Hitel törlesztés</t>
  </si>
  <si>
    <t>kamatfizetés</t>
  </si>
  <si>
    <t>Hosszú lejáratú hitelek</t>
  </si>
  <si>
    <t>Rövid lejáratú hitelek</t>
  </si>
  <si>
    <t>MARADVÁNYKIMUTATÁS</t>
  </si>
  <si>
    <t>ÖNK</t>
  </si>
  <si>
    <t>HKÖH</t>
  </si>
  <si>
    <t>HVÓBKI</t>
  </si>
  <si>
    <t>HKK</t>
  </si>
  <si>
    <t>MŐSZ</t>
  </si>
  <si>
    <t>HVGYKCSSZ</t>
  </si>
  <si>
    <t>3.a</t>
  </si>
  <si>
    <t>3.b</t>
  </si>
  <si>
    <t>3.c</t>
  </si>
  <si>
    <t>3.d</t>
  </si>
  <si>
    <t>3.e</t>
  </si>
  <si>
    <t>3.f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</si>
  <si>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</si>
  <si>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</si>
  <si>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</si>
  <si>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</si>
  <si>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</si>
  <si>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</si>
  <si>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</si>
  <si>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</si>
  <si>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</si>
  <si>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</si>
  <si>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</si>
  <si>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</si>
  <si>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</si>
  <si>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</si>
  <si>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</si>
  <si>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</si>
  <si>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</si>
  <si>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</si>
  <si>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</si>
  <si>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MÁK beszámoló</t>
  </si>
  <si>
    <t>Jóváhagyott</t>
  </si>
  <si>
    <t xml:space="preserve">Maradvány </t>
  </si>
  <si>
    <t>Beszámoló szerinti módosittott maradvány összesen</t>
  </si>
  <si>
    <t>Felülviszgált módosittott maradvány összesen</t>
  </si>
  <si>
    <t>2019. évi költségvetésben eredeti előirányzatként tervezett</t>
  </si>
  <si>
    <t>Működési maradvány:</t>
  </si>
  <si>
    <t xml:space="preserve">   ebből:</t>
  </si>
  <si>
    <t>Önkormányzat maradványa (MÁK garnitúra szerint)</t>
  </si>
  <si>
    <t>HKÖH maradvány elvonás</t>
  </si>
  <si>
    <t>HVÓBKI maradvány elvonás</t>
  </si>
  <si>
    <t>HKK maradvány elvonás</t>
  </si>
  <si>
    <t>MŐSZ maradvány elvonás</t>
  </si>
  <si>
    <t>HVGYKCSSZ maradvány elvonás</t>
  </si>
  <si>
    <t>ÖNK felülvizsgált maradványa</t>
  </si>
  <si>
    <t>Elkülönített számlák egyenlege (bérlakás, lakásépítés szla stb.)</t>
  </si>
  <si>
    <t>EU-s pályázatok elk. számlái, előlegek, még el nem számolt támogatásokra (TOP, érdekeltségnövelő stb) felhasználható *</t>
  </si>
  <si>
    <t>HKÖH maradványa (MÁK garnitúra szerint)</t>
  </si>
  <si>
    <t>maradvány elvonás</t>
  </si>
  <si>
    <t>HKÖH felülvizsgált maradványa</t>
  </si>
  <si>
    <t>HVÓBKI maradványa (MÁK garnitúra szerint)</t>
  </si>
  <si>
    <t>HVÓBKI felülvizsgált maradványa</t>
  </si>
  <si>
    <t>HKK maradványa (MÁK garnitúra szerint)</t>
  </si>
  <si>
    <t>HKK felülvizsgált maradványa</t>
  </si>
  <si>
    <t>MŐSZ maradványa (MÁK garnitúra szerint)</t>
  </si>
  <si>
    <t>MŐSZ felülvizsgált maradványa</t>
  </si>
  <si>
    <t>HVGYKCSSZ maradványa (MÁK garnitúra szerint)</t>
  </si>
  <si>
    <t>Felhalmozási maradvány:</t>
  </si>
  <si>
    <t xml:space="preserve">ÖNK felülvizsgált maradványa </t>
  </si>
  <si>
    <t>EU-s pályázatok elk. számlái, előlegek, még el nem számolt támogatásokra (TOP, érdekeltségnövelő, hivatal felújítás) felhasználható*</t>
  </si>
  <si>
    <t>A felosztott  maradványok teljes összegben feladattal terheltek, szállítói tartozás illetve szerződéssel, megállapodással terhelt maradvány, áthúzódó személyi juttatás és közteher maradványa.</t>
  </si>
  <si>
    <t>Heves Város Önkormányzata 2019. évi gazdálkodásának zárszámadása mellékleteiről</t>
  </si>
  <si>
    <t>Előirányzat-felhasználási ütemterv 2019. évre (pénzeszközök változása a teljesítési adatok alapján)</t>
  </si>
  <si>
    <t>Heves Város Önkormányzata 2019. évi vagyonkimutatássa</t>
  </si>
  <si>
    <t>Tartozások hitelfelvételből és kötvénykibocsátásból 2019.12.31.</t>
  </si>
  <si>
    <t xml:space="preserve">A 2019. évi maradvány megállapítása és felosztása </t>
  </si>
  <si>
    <t>%</t>
  </si>
  <si>
    <t>2019. évi teljesítés</t>
  </si>
  <si>
    <t>2018. évi teljesítés</t>
  </si>
  <si>
    <t>12.13-i módosított létszám előirányzat (fő)</t>
  </si>
  <si>
    <t>2019. évi teljesítés (fő)</t>
  </si>
  <si>
    <t>Önkormányzatok és társulások általános végrehajtó igazgatási tevékenysége (képviselők, bizottsági tagok)</t>
  </si>
  <si>
    <t>Önkormányzati igazgatás (nyári diákmunka)</t>
  </si>
  <si>
    <t>Egészségügy igazgatása (EFOP praxisközösség)</t>
  </si>
  <si>
    <t>Iskolarendszeren kívüli egyéb oktatás, képzések (EFOP humán kapcitások fejlesztése)</t>
  </si>
  <si>
    <t>A gyermekek, fiatalok és családok életminőségét javító programok (EFOP GYEP)</t>
  </si>
  <si>
    <t>Esélyegyenlőség elősegítését célzó tevékenységek és programok (EFOP humán szolgáltatások)</t>
  </si>
  <si>
    <t>Esélyegyenlőség elősegítését célzó tevékenységek és programok (EFOP nőközpont)</t>
  </si>
  <si>
    <t>Önkormányzaton kívüli EU-s projektekhez történő hozzájárulás 2020. évi előirányzata</t>
  </si>
  <si>
    <t>ADÓSSÁGOT KELETKEZTETŐ ÜGYLETEK 2019. ÉVI VÁRHATÓ EGYÜTTES ÖSSZEGE</t>
  </si>
  <si>
    <t>2019. évi teljesített kedvezmény nélkül elért bevétel</t>
  </si>
  <si>
    <t>2019. évi teljesített kedvezmények összege</t>
  </si>
  <si>
    <t>2019. évi költségvetés teljesítés</t>
  </si>
  <si>
    <t>2019.12.31-i állomány</t>
  </si>
  <si>
    <t>2019. év utáni hitel törlesztés</t>
  </si>
  <si>
    <t>Betegséggel kapcsolatos (nem társadalombiztosítási) ellátások (=75+…+83) (K44)</t>
  </si>
  <si>
    <t>ebből: tartós ápolást végzők időskori támogatása [Szoctv. 44/A. §] (K44)</t>
  </si>
  <si>
    <t>Foglalkoztatással, munkanélküliséggel kapcsolatos ellátások (=85+…+92) (K45)</t>
  </si>
  <si>
    <t>Lakhatással kapcsolatos ellátások (=94+95) (K46)</t>
  </si>
  <si>
    <t>Intézményi ellátottak pénzbeli juttatásai (&gt;=97+98) (K47)</t>
  </si>
  <si>
    <t>Egyéb nem intézményi ellátások (&gt;=100+…+118) (K48)</t>
  </si>
  <si>
    <t>Ellátottak pénzbeli juttatásai (=61+62+73+74+84+93+96+99) (K4)</t>
  </si>
  <si>
    <t>Nemzetközi kötelezettségek (&gt;=121) (K501)</t>
  </si>
  <si>
    <t>Elvonások és befizetések (=122+123+124) (K502)</t>
  </si>
  <si>
    <t>Működési célú visszatérítendő támogatások, kölcsönök nyújtása államháztartáson belülre (=128+…+137) (K504)</t>
  </si>
  <si>
    <t>Működési célú visszatérítendő támogatások, kölcsönök törlesztése államháztartáson belülre (=139+…+148) (K505)</t>
  </si>
  <si>
    <t>Egyéb működési célú támogatások államháztartáson belülre (=150+…+159) (K506)</t>
  </si>
  <si>
    <t>Működési célú garancia- és kezességvállalásból származó kifizetés államháztartáson kívülre (&gt;=161) (K507)</t>
  </si>
  <si>
    <t>Működési célú visszatérítendő támogatások, kölcsönök nyújtása államháztartáson kívülre (=163+…+173) (K508)</t>
  </si>
  <si>
    <t>Egyéb működési célú támogatások államháztartáson kívülre (=178+…+187) (K512)</t>
  </si>
  <si>
    <t>Egyéb működési célú kiadások (=120+125+126+127+138+149+160+162+174+175+176+177+188) (K5)</t>
  </si>
  <si>
    <t>Ingatlanok beszerzése, létesítése (&gt;=192) (K62)</t>
  </si>
  <si>
    <t>Beruházások (=190+191+193+…+197) (K6)</t>
  </si>
  <si>
    <t>Felújítások (=199+...+202) (K7)</t>
  </si>
  <si>
    <t>Felhalmozási célú visszatérítendő támogatások, kölcsönök nyújtása államháztartáson belülre (=206+…+215) (K82)</t>
  </si>
  <si>
    <t>Felhalmozási célú visszatérítendő támogatások, kölcsönök törlesztése államháztartáson belülre (=217+…+226) (K83)</t>
  </si>
  <si>
    <t>Egyéb felhalmozási célú támogatások államháztartáson belülre (=228+…+237) (K84)</t>
  </si>
  <si>
    <t>Felhalmozási célú garancia- és kezességvállalásból származó kifizetés államháztartáson kívülre (&gt;=239) (K85)</t>
  </si>
  <si>
    <t>Felhalmozási célú visszatérítendő támogatások, kölcsönök nyújtása államháztartáson kívülre (=241+…+251) (K86)</t>
  </si>
  <si>
    <t>Egyéb felhalmozási célú támogatások államháztartáson kívülre (=255+…+264) (K89)</t>
  </si>
  <si>
    <t>Egyéb felhalmozási célú kiadások (=204+205+216+227+238+240+252+253+254) (K8)</t>
  </si>
  <si>
    <t>Költségvetési kiadások (=20+21+60+119+189+198+203+265) (K1-K8)</t>
  </si>
  <si>
    <t>Magánszemélyek jövedelemadói (=81+82) (B311)</t>
  </si>
  <si>
    <t>Társaságok jövedelemadói (=84+…+91) (B312)</t>
  </si>
  <si>
    <t>Jövedelemadók (=80+83) (B31)</t>
  </si>
  <si>
    <t>Szociális hozzájárulási adó és járulékok (=94+…+102) (B32)</t>
  </si>
  <si>
    <t>Bérhez és foglalkoztatáshoz kapcsolódó adók (=104+…+107) (B33)</t>
  </si>
  <si>
    <t>Vagyoni tipusú adók (=109+…+114) (B34)</t>
  </si>
  <si>
    <t>Értékesítési és forgalmi adók (=116+…+136) (B351)</t>
  </si>
  <si>
    <t>Fogyasztási adók  (=138+139+140) (B352)</t>
  </si>
  <si>
    <t>Gépjárműadók (=143+…+146) (B354)</t>
  </si>
  <si>
    <t>Egyéb áruhasználati és szolgáltatási adók  (=148+…+163) (B355)</t>
  </si>
  <si>
    <t>Termékek és szolgáltatások adói (=115+137+141+142+147)  (B35)</t>
  </si>
  <si>
    <t>Egyéb közhatalmi bevételek (&gt;=166+…+183) (B36)</t>
  </si>
  <si>
    <t>ebből: bevándorlási különadó (B36)</t>
  </si>
  <si>
    <t>Közhatalmi bevételek (=92+93+103+108+164+165) (B3)</t>
  </si>
  <si>
    <t>Szolgáltatások ellenértéke (&gt;=187+188) (B402)</t>
  </si>
  <si>
    <t>Közvetített szolgáltatások ellenértéke  (&gt;=190) (B403)</t>
  </si>
  <si>
    <t>Tulajdonosi bevételek (&gt;=192+…+197) (B404)</t>
  </si>
  <si>
    <t>Befektetett pénzügyi eszközökből származó bevételek (&gt;=202+203) (B4081)</t>
  </si>
  <si>
    <t>Egyéb kapott (járó) kamatok és kamatjellegű bevételek (&gt;=205+206) (B4082)</t>
  </si>
  <si>
    <t>Kamatbevételek és más nyereségjellegű bevételek (=201+204) (B408)</t>
  </si>
  <si>
    <t>Más egyéb pénzügyi műveletek bevételei (&gt;=210+…+214) (B4092)</t>
  </si>
  <si>
    <t>Egyéb pénzügyi műveletek bevételei (=208+209) (B409)</t>
  </si>
  <si>
    <t>Egyéb működési bevételek (&gt;=218+219) (B411)</t>
  </si>
  <si>
    <t>Működési bevételek (=185+186+189+191+198+…+200+207+215+216+217) (B4)</t>
  </si>
  <si>
    <t>Immateriális javak értékesítése (&gt;=222) (B51)</t>
  </si>
  <si>
    <t>Ingatlanok értékesítése (&gt;=224) (B52)</t>
  </si>
  <si>
    <t>Részesedések értékesítése (&gt;=227) (B54)</t>
  </si>
  <si>
    <t>Felhalmozási bevételek (=221+223+225+226+228) (B5)</t>
  </si>
  <si>
    <t>Működési célú visszatérítendő támogatások, kölcsönök visszatérülése államháztartáson kívülről (=234+…+242) (B64)</t>
  </si>
  <si>
    <t>Egyéb működési célú átvett pénzeszközök (=244+…+254) (B65)</t>
  </si>
  <si>
    <t>Működési célú átvett pénzeszközök (=230+...+233+243) (B6)</t>
  </si>
  <si>
    <t>Felhalmozási célú visszatérítendő támogatások, kölcsönök visszatérülése államháztartáson kívülről (=260+…+268) (B74)</t>
  </si>
  <si>
    <t>Egyéb felhalmozási célú átvett pénzeszközök (=270+…+280) (B75)</t>
  </si>
  <si>
    <t>Felhalmozási célú átvett pénzeszközök (=256+…+259+269) (B7)</t>
  </si>
  <si>
    <t>Költségvetési bevételek (=43+79+184+220+229+255+281) (B1-B7)</t>
  </si>
  <si>
    <t>Emberi Erőforrás Támogatáskezelő</t>
  </si>
  <si>
    <t>ME-Uniós Fejl. Fejezeti  kez.előirányzat számla</t>
  </si>
  <si>
    <t>BURSA támogatás</t>
  </si>
  <si>
    <t>Erzsébet Utalványforgalmazó Zrt</t>
  </si>
  <si>
    <t>2018. évi erzsébet utalványok visszaváltása</t>
  </si>
  <si>
    <t>működési kiadások, rendezvények támogatása</t>
  </si>
  <si>
    <t>TOP 3.2.1 pályázat támogatási előleg maradvány visszafizetés</t>
  </si>
  <si>
    <t>TOP 1.4.1 pályázat támogatási előleg maradvány visszafizetés</t>
  </si>
  <si>
    <t>EFOP Humán kapacitások fejlesztése</t>
  </si>
  <si>
    <t>ösztöndíjak</t>
  </si>
  <si>
    <t>EFOP Humán Szolgáltatások fejlesztése a Hevesi járásban</t>
  </si>
  <si>
    <t>Arany J. ösztöndíj program</t>
  </si>
  <si>
    <t>Közép és Kelet Európai Tört. és Társ. Közalapítvány</t>
  </si>
  <si>
    <t>támogtás visszafizetés</t>
  </si>
  <si>
    <t>Fejlesztési hitel (tervezett hitelfelvétel - Kerekerdő óvoda tornaszoba önerő) - NEM KERÜLT FELVÉTELRE!</t>
  </si>
  <si>
    <t>Konyhai eszközök</t>
  </si>
  <si>
    <t>Kisértékű eszközbeszerzések (mosó és szárítógépek, fektetőágyak, mikrohullámú sütő stb.)</t>
  </si>
  <si>
    <t>Kisértékű eszközbeszerzések (hűtőszekrény, riasztó, gumi abroncs, kártyaolvasó stb.)</t>
  </si>
  <si>
    <t>Ingatlanvásárlás</t>
  </si>
  <si>
    <t>Kerítés építés</t>
  </si>
  <si>
    <t>Gépjármű vásárlás 2 db</t>
  </si>
  <si>
    <t>Raktár és irat konténerek</t>
  </si>
  <si>
    <t>Kisértékű eszközbeszerzések (irodabútorok, telefonok, kerékpárok stb.)</t>
  </si>
  <si>
    <t>KEHOP 5.4.1-16-2016-00400</t>
  </si>
  <si>
    <t>Szemléletformáló programok Heves városban</t>
  </si>
  <si>
    <t>2019. év</t>
  </si>
  <si>
    <t>Komplex környezetvédelmi programok támogatása (KEHOP-5.4.1)</t>
  </si>
  <si>
    <t>056010</t>
  </si>
  <si>
    <t>Komplex környezetvédelmi programok támogatása (KEHOP-5.4.1-16-2016-00400 Szemléletformáló programok Heves városban)</t>
  </si>
  <si>
    <t>Egyéb szociális pénzbeli és természetbeni ellátások, támogatások</t>
  </si>
  <si>
    <t xml:space="preserve"> - EFOP-1.5.3-16-2017-00108 Humán szolgáltatások fejlesztése a Hevesi járásban pályázat támogatási előleg</t>
  </si>
  <si>
    <t xml:space="preserve"> - EFOP-3.9.2-16-2017-00024 Humán kapacitások fejlesztése a Hevesi járásban pályázat támogatási előleg</t>
  </si>
  <si>
    <t xml:space="preserve"> - EFOP-1.4.2-16-2016-00030 Integrált térségi gyermekprogramok a Hevesi járásban pályázat támogatási előleg</t>
  </si>
  <si>
    <t xml:space="preserve"> - EFOP-2.1.2-16-2017-00015 Gyerekesély programok infrastrukturális háttere a Hevesi járásban pályázat támogatási előleg</t>
  </si>
  <si>
    <t xml:space="preserve"> - TOP-5.1.2-15-HE1-2016-00001 Foglalkoztatási együttműködések kialakítása a dél-hevesi térségben pályázat támogatási előleg</t>
  </si>
  <si>
    <t xml:space="preserve"> - TOP-5.2.1-15-HE1-2016-00004 KOMPLEX TÁRSADALMI EGYÜTTMŰKÖDÉSI PROGRAM HEVES VÁROSBAN pályázat támogatási előleg</t>
  </si>
  <si>
    <t xml:space="preserve"> - TOP-4.2.1-15-HE1-2016-00014 Dél- Hevesi Kistérség Gyermekjóléti Központja és Családsegítő Szolgálatának fejlesztése pályázat támogatási előleg</t>
  </si>
  <si>
    <t xml:space="preserve"> - TOP-4.3.1-15-HE1-2016-00004 Leromlott területek rehabilitációja Heves városban pályázat támogatási előleg</t>
  </si>
  <si>
    <t xml:space="preserve"> - TOP-1.2.1-16-HE1-2017-00010 Az első magyar sakkmúzeum fejlesztése Hevesen pályázat támogatási előleg</t>
  </si>
  <si>
    <t xml:space="preserve"> - TOP-1.1.1-16-HE1-2017-00002 Iparterület kialakítása Heves Városban pályázat támogatási előleg</t>
  </si>
  <si>
    <t xml:space="preserve"> - TOP-3.1.1-16-HE1-2017-00003 Kerékpáros fejlesztés Heves és Hevesvezekény településeken pályázat támogatási előleg</t>
  </si>
  <si>
    <t xml:space="preserve"> - TOP-1.1.3-16-HE1-2017-00007 A helyi gazdaság fejlesztése Heves városban pályázat támogatási előleg</t>
  </si>
  <si>
    <t xml:space="preserve"> - KEHOP-2.2.1-15-2015-00024 Solt szennyvíztisztitó telep korszerűsítése, tisztított szennyvíz Duna sodorvonali bevezetésével pályázat támogatási előleg</t>
  </si>
  <si>
    <t xml:space="preserve"> - TOP-1.2.1-16-HE1-2017-00009 Ökoturisztikai fejlesztés Heves Városban pályázat támogatási előleg</t>
  </si>
  <si>
    <t xml:space="preserve"> - TOP-2.1.2-16-HE1-2017-00001 A hevesi Vicán-tó és környezetének fejlesztése pályázat támogatási előleg</t>
  </si>
  <si>
    <t xml:space="preserve"> - Strand beruházás támogatási előleg</t>
  </si>
  <si>
    <t xml:space="preserve"> - Közfoglalkoztatás támogatási előleg</t>
  </si>
  <si>
    <t>39.</t>
  </si>
  <si>
    <t>KEHOP 5.4.1-16-2016-00400 Szemléletformáló programok Heves városban</t>
  </si>
  <si>
    <t>Önkormányzati hivatal belső felújítása (folytatás) - eszközbeszerzések</t>
  </si>
  <si>
    <t>Kisértékű eszközbeszerzések (székek, mobiltelefonok stb.)</t>
  </si>
  <si>
    <t>Közfoglalkoztatás eszközbeszerzések (fűnyírók, tárcsalapok stb.)</t>
  </si>
  <si>
    <t>Hótoló</t>
  </si>
  <si>
    <t>Kamera rendzser Venczel park</t>
  </si>
  <si>
    <t>Ingatlan felújítás</t>
  </si>
  <si>
    <t>Gyöngyösi úti temető kerítés</t>
  </si>
  <si>
    <r>
      <t xml:space="preserve">Erkel lakótelepi utca, járda </t>
    </r>
    <r>
      <rPr>
        <strike/>
        <sz val="9"/>
        <rFont val="Times New Roman CE"/>
        <charset val="238"/>
      </rPr>
      <t xml:space="preserve">és Hunyadi J. u. </t>
    </r>
    <r>
      <rPr>
        <sz val="9"/>
        <rFont val="Times New Roman CE"/>
        <charset val="238"/>
      </rPr>
      <t>felújítása</t>
    </r>
  </si>
  <si>
    <t>Szociális célú lakások felújítsa (Zrínyi 2/b fsz. 5., Szerelem A. u. 20.)</t>
  </si>
  <si>
    <t>Fő út 37. áram csatlakozási dj</t>
  </si>
  <si>
    <t>Körzeti Tagiskola felújítás (konyha-ebédlő, tető, kollégium)</t>
  </si>
  <si>
    <t>Közép és Kelet Európai Tört. és Társ. Közalapítvány I. VH emlékmű felújítás támogatása visszafizetés</t>
  </si>
  <si>
    <t>2019. évi változás</t>
  </si>
  <si>
    <t>2019. évi változás jogcíme</t>
  </si>
  <si>
    <t>2019.12.31-i részesedés összege</t>
  </si>
  <si>
    <t xml:space="preserve">Részesedésből adódó kötelezettségek (tagdíj, tőkeemelés stb.) 2019.12.31. </t>
  </si>
  <si>
    <t>Értékvesztés visszaírás</t>
  </si>
  <si>
    <t>Értékvesztés</t>
  </si>
  <si>
    <t>2019. december 31-én</t>
  </si>
  <si>
    <t>* Stabilitási tv. 3. §. alapján (hitelek, kötvénykibocsátás, kezességvállalás stb.)</t>
  </si>
  <si>
    <t>Egyéb adósság *</t>
  </si>
  <si>
    <t>Szállítói tartozás</t>
  </si>
  <si>
    <t>2019. évi költségvetés</t>
  </si>
  <si>
    <t>2019. évi szállitói tartozások (önkormányzati összesen), kötelezettségvállalások</t>
  </si>
  <si>
    <t>Felhalmozási szállítók, kötelezettségek (EU-s pályázati pénzből adott beruházási előleg elszámolása, egyéb 2019. évi támogatási előleg stb.)</t>
  </si>
  <si>
    <t>Működésre eredeti előirányzatként tervezve 2020. évre</t>
  </si>
  <si>
    <t>2020. évi költségvetés eredeti működési maradvány módosítása</t>
  </si>
  <si>
    <t>Felhalmozásra eredeti előirányzatként tervezve 2020. évre</t>
  </si>
  <si>
    <t>2020. évi költségvetés eredeti felhalmozási maradvány módoítása</t>
  </si>
  <si>
    <t>2019. évi önkormányzati támogatás maradvány HEVA és Média Kft. részére</t>
  </si>
  <si>
    <t>2019. évi fel nem használt támogatás (közmunka támogatás előleg, 2020. évi támogatási előleg stb.)</t>
  </si>
  <si>
    <t>* a maradvány csak részben fedezi a 2019. év végi 2 634 917 E Ft felhalmozási célra megkapott EU-s támogatásállomány visszapótlását, felhasználását</t>
  </si>
  <si>
    <t>???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</si>
</sst>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#,##0.0"/>
    <numFmt numFmtId="165" formatCode="#,###"/>
    <numFmt numFmtId="166" formatCode="0.0"/>
    <numFmt numFmtId="167" formatCode="#,##0_ ;\-#,##0\ "/>
    <numFmt numFmtId="168" formatCode="#,##0&quot;.&quot;"/>
  </numFmts>
  <fonts count="7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9"/>
      <name val="Times New Roman CE"/>
      <charset val="238"/>
    </font>
    <font>
      <vertAlign val="superscript"/>
      <sz val="9"/>
      <name val="Times New Roman CE"/>
      <charset val="238"/>
    </font>
    <font>
      <b/>
      <vertAlign val="superscript"/>
      <sz val="9"/>
      <name val="Times New Roman CE"/>
      <charset val="238"/>
    </font>
    <font>
      <b/>
      <i/>
      <sz val="12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9"/>
      <color indexed="10"/>
      <name val="Times New Roman CE"/>
      <charset val="238"/>
    </font>
    <font>
      <b/>
      <sz val="9"/>
      <color indexed="10"/>
      <name val="Times New Roman CE"/>
      <charset val="238"/>
    </font>
    <font>
      <u/>
      <sz val="9"/>
      <name val="Times New Roman"/>
      <family val="1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Times New Roman"/>
      <family val="2"/>
      <charset val="238"/>
    </font>
    <font>
      <sz val="9"/>
      <color rgb="FFFF0000"/>
      <name val="Times New Roman CE"/>
      <charset val="238"/>
    </font>
    <font>
      <sz val="12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u/>
      <sz val="9"/>
      <name val="Times New Roman CE"/>
      <charset val="238"/>
    </font>
    <font>
      <i/>
      <sz val="11"/>
      <name val="Times New Roman"/>
      <family val="1"/>
      <charset val="238"/>
    </font>
    <font>
      <b/>
      <sz val="12"/>
      <name val="Arial CE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charset val="238"/>
    </font>
    <font>
      <i/>
      <sz val="10"/>
      <name val="Times New Roman CE"/>
      <charset val="238"/>
    </font>
    <font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i/>
      <sz val="12"/>
      <name val="Times New Roman"/>
      <family val="1"/>
      <charset val="238"/>
    </font>
    <font>
      <i/>
      <sz val="12"/>
      <name val="Times New Roman CE"/>
      <charset val="238"/>
    </font>
    <font>
      <i/>
      <u/>
      <sz val="9"/>
      <name val="Times New Roman CE"/>
      <charset val="238"/>
    </font>
    <font>
      <strike/>
      <sz val="9"/>
      <name val="Times New Roman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47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43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3" fontId="4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2" fillId="0" borderId="0"/>
    <xf numFmtId="0" fontId="49" fillId="0" borderId="0"/>
    <xf numFmtId="0" fontId="2" fillId="0" borderId="0"/>
    <xf numFmtId="0" fontId="50" fillId="0" borderId="0"/>
    <xf numFmtId="3" fontId="4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3" fontId="4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39">
    <xf numFmtId="0" fontId="0" fillId="0" borderId="0" xfId="0"/>
    <xf numFmtId="3" fontId="7" fillId="0" borderId="0" xfId="31" applyNumberFormat="1" applyFont="1" applyFill="1"/>
    <xf numFmtId="3" fontId="8" fillId="0" borderId="0" xfId="31" applyNumberFormat="1" applyFont="1" applyFill="1"/>
    <xf numFmtId="3" fontId="15" fillId="0" borderId="0" xfId="0" applyNumberFormat="1" applyFont="1"/>
    <xf numFmtId="3" fontId="16" fillId="0" borderId="0" xfId="0" applyNumberFormat="1" applyFont="1"/>
    <xf numFmtId="3" fontId="15" fillId="0" borderId="13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3" fontId="15" fillId="0" borderId="16" xfId="0" applyNumberFormat="1" applyFont="1" applyBorder="1"/>
    <xf numFmtId="3" fontId="16" fillId="0" borderId="16" xfId="0" applyNumberFormat="1" applyFont="1" applyBorder="1"/>
    <xf numFmtId="3" fontId="16" fillId="0" borderId="2" xfId="0" applyNumberFormat="1" applyFont="1" applyBorder="1"/>
    <xf numFmtId="3" fontId="17" fillId="0" borderId="2" xfId="0" applyNumberFormat="1" applyFont="1" applyBorder="1"/>
    <xf numFmtId="3" fontId="17" fillId="0" borderId="0" xfId="0" applyNumberFormat="1" applyFont="1"/>
    <xf numFmtId="3" fontId="15" fillId="0" borderId="17" xfId="0" applyNumberFormat="1" applyFont="1" applyBorder="1"/>
    <xf numFmtId="3" fontId="17" fillId="0" borderId="18" xfId="0" applyNumberFormat="1" applyFont="1" applyBorder="1"/>
    <xf numFmtId="3" fontId="16" fillId="0" borderId="18" xfId="0" applyNumberFormat="1" applyFont="1" applyBorder="1"/>
    <xf numFmtId="3" fontId="16" fillId="0" borderId="19" xfId="0" applyNumberFormat="1" applyFont="1" applyBorder="1"/>
    <xf numFmtId="3" fontId="15" fillId="0" borderId="6" xfId="0" applyNumberFormat="1" applyFont="1" applyBorder="1"/>
    <xf numFmtId="3" fontId="17" fillId="0" borderId="20" xfId="0" applyNumberFormat="1" applyFont="1" applyBorder="1"/>
    <xf numFmtId="3" fontId="16" fillId="0" borderId="20" xfId="0" applyNumberFormat="1" applyFont="1" applyBorder="1"/>
    <xf numFmtId="3" fontId="16" fillId="0" borderId="4" xfId="0" applyNumberFormat="1" applyFont="1" applyBorder="1"/>
    <xf numFmtId="3" fontId="16" fillId="0" borderId="25" xfId="0" applyNumberFormat="1" applyFont="1" applyBorder="1"/>
    <xf numFmtId="3" fontId="16" fillId="0" borderId="26" xfId="0" applyNumberFormat="1" applyFont="1" applyBorder="1"/>
    <xf numFmtId="3" fontId="15" fillId="0" borderId="27" xfId="0" applyNumberFormat="1" applyFont="1" applyBorder="1"/>
    <xf numFmtId="3" fontId="15" fillId="0" borderId="28" xfId="0" applyNumberFormat="1" applyFont="1" applyBorder="1"/>
    <xf numFmtId="3" fontId="15" fillId="0" borderId="29" xfId="0" applyNumberFormat="1" applyFont="1" applyBorder="1"/>
    <xf numFmtId="3" fontId="15" fillId="0" borderId="13" xfId="0" applyNumberFormat="1" applyFont="1" applyBorder="1"/>
    <xf numFmtId="3" fontId="15" fillId="0" borderId="10" xfId="0" applyNumberFormat="1" applyFont="1" applyBorder="1"/>
    <xf numFmtId="3" fontId="15" fillId="0" borderId="9" xfId="0" applyNumberFormat="1" applyFont="1" applyBorder="1"/>
    <xf numFmtId="3" fontId="15" fillId="0" borderId="0" xfId="0" applyNumberFormat="1" applyFont="1" applyBorder="1"/>
    <xf numFmtId="3" fontId="15" fillId="0" borderId="1" xfId="0" applyNumberFormat="1" applyFont="1" applyBorder="1"/>
    <xf numFmtId="3" fontId="15" fillId="0" borderId="31" xfId="0" applyNumberFormat="1" applyFont="1" applyBorder="1"/>
    <xf numFmtId="3" fontId="15" fillId="0" borderId="32" xfId="0" applyNumberFormat="1" applyFont="1" applyBorder="1"/>
    <xf numFmtId="3" fontId="16" fillId="0" borderId="6" xfId="0" applyNumberFormat="1" applyFont="1" applyBorder="1"/>
    <xf numFmtId="3" fontId="16" fillId="0" borderId="17" xfId="0" applyNumberFormat="1" applyFont="1" applyBorder="1"/>
    <xf numFmtId="3" fontId="18" fillId="0" borderId="0" xfId="0" applyNumberFormat="1" applyFont="1"/>
    <xf numFmtId="3" fontId="18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left"/>
    </xf>
    <xf numFmtId="3" fontId="16" fillId="0" borderId="36" xfId="0" applyNumberFormat="1" applyFont="1" applyBorder="1"/>
    <xf numFmtId="3" fontId="16" fillId="0" borderId="37" xfId="0" applyNumberFormat="1" applyFont="1" applyBorder="1"/>
    <xf numFmtId="3" fontId="17" fillId="0" borderId="19" xfId="0" applyNumberFormat="1" applyFont="1" applyBorder="1"/>
    <xf numFmtId="3" fontId="17" fillId="0" borderId="36" xfId="0" applyNumberFormat="1" applyFont="1" applyBorder="1"/>
    <xf numFmtId="3" fontId="17" fillId="0" borderId="25" xfId="0" applyNumberFormat="1" applyFont="1" applyBorder="1"/>
    <xf numFmtId="3" fontId="17" fillId="0" borderId="26" xfId="0" applyNumberFormat="1" applyFont="1" applyBorder="1"/>
    <xf numFmtId="3" fontId="17" fillId="0" borderId="4" xfId="0" applyNumberFormat="1" applyFont="1" applyBorder="1"/>
    <xf numFmtId="3" fontId="17" fillId="0" borderId="37" xfId="0" applyNumberFormat="1" applyFont="1" applyBorder="1"/>
    <xf numFmtId="3" fontId="16" fillId="0" borderId="38" xfId="0" applyNumberFormat="1" applyFont="1" applyBorder="1"/>
    <xf numFmtId="3" fontId="16" fillId="0" borderId="39" xfId="0" applyNumberFormat="1" applyFont="1" applyBorder="1"/>
    <xf numFmtId="3" fontId="16" fillId="0" borderId="40" xfId="0" applyNumberFormat="1" applyFont="1" applyBorder="1"/>
    <xf numFmtId="3" fontId="19" fillId="0" borderId="0" xfId="0" applyNumberFormat="1" applyFont="1"/>
    <xf numFmtId="3" fontId="19" fillId="0" borderId="0" xfId="0" applyNumberFormat="1" applyFont="1" applyAlignment="1">
      <alignment horizontal="right"/>
    </xf>
    <xf numFmtId="3" fontId="20" fillId="0" borderId="0" xfId="0" applyNumberFormat="1" applyFont="1"/>
    <xf numFmtId="3" fontId="15" fillId="0" borderId="0" xfId="0" applyNumberFormat="1" applyFont="1" applyBorder="1" applyAlignment="1">
      <alignment horizontal="center"/>
    </xf>
    <xf numFmtId="164" fontId="15" fillId="0" borderId="40" xfId="0" applyNumberFormat="1" applyFont="1" applyBorder="1"/>
    <xf numFmtId="164" fontId="15" fillId="0" borderId="38" xfId="0" applyNumberFormat="1" applyFont="1" applyBorder="1"/>
    <xf numFmtId="164" fontId="15" fillId="0" borderId="39" xfId="0" applyNumberFormat="1" applyFont="1" applyBorder="1"/>
    <xf numFmtId="164" fontId="15" fillId="0" borderId="4" xfId="0" applyNumberFormat="1" applyFont="1" applyBorder="1"/>
    <xf numFmtId="164" fontId="15" fillId="0" borderId="25" xfId="0" applyNumberFormat="1" applyFont="1" applyBorder="1"/>
    <xf numFmtId="164" fontId="15" fillId="0" borderId="26" xfId="0" applyNumberFormat="1" applyFont="1" applyBorder="1"/>
    <xf numFmtId="164" fontId="15" fillId="0" borderId="13" xfId="0" applyNumberFormat="1" applyFont="1" applyBorder="1"/>
    <xf numFmtId="164" fontId="15" fillId="0" borderId="10" xfId="0" applyNumberFormat="1" applyFont="1" applyBorder="1"/>
    <xf numFmtId="164" fontId="15" fillId="0" borderId="9" xfId="0" applyNumberFormat="1" applyFont="1" applyBorder="1"/>
    <xf numFmtId="49" fontId="15" fillId="0" borderId="0" xfId="0" applyNumberFormat="1" applyFont="1" applyBorder="1"/>
    <xf numFmtId="49" fontId="15" fillId="0" borderId="41" xfId="0" applyNumberFormat="1" applyFont="1" applyBorder="1" applyAlignment="1">
      <alignment horizontal="left" indent="1"/>
    </xf>
    <xf numFmtId="49" fontId="16" fillId="0" borderId="7" xfId="0" applyNumberFormat="1" applyFont="1" applyBorder="1" applyAlignment="1">
      <alignment horizontal="left" indent="2"/>
    </xf>
    <xf numFmtId="49" fontId="17" fillId="0" borderId="42" xfId="0" applyNumberFormat="1" applyFont="1" applyBorder="1" applyAlignment="1">
      <alignment horizontal="left" indent="3"/>
    </xf>
    <xf numFmtId="49" fontId="16" fillId="0" borderId="42" xfId="0" applyNumberFormat="1" applyFont="1" applyBorder="1" applyAlignment="1">
      <alignment horizontal="left" indent="2"/>
    </xf>
    <xf numFmtId="49" fontId="16" fillId="0" borderId="5" xfId="0" applyNumberFormat="1" applyFont="1" applyBorder="1" applyAlignment="1">
      <alignment horizontal="left" indent="2"/>
    </xf>
    <xf numFmtId="49" fontId="15" fillId="0" borderId="41" xfId="0" applyNumberFormat="1" applyFont="1" applyBorder="1"/>
    <xf numFmtId="49" fontId="15" fillId="0" borderId="41" xfId="0" applyNumberFormat="1" applyFont="1" applyBorder="1" applyAlignment="1">
      <alignment horizontal="left"/>
    </xf>
    <xf numFmtId="49" fontId="15" fillId="0" borderId="43" xfId="0" applyNumberFormat="1" applyFont="1" applyBorder="1"/>
    <xf numFmtId="49" fontId="16" fillId="0" borderId="7" xfId="0" applyNumberFormat="1" applyFont="1" applyBorder="1"/>
    <xf numFmtId="49" fontId="16" fillId="0" borderId="44" xfId="0" applyNumberFormat="1" applyFont="1" applyBorder="1"/>
    <xf numFmtId="49" fontId="17" fillId="0" borderId="5" xfId="0" applyNumberFormat="1" applyFont="1" applyBorder="1" applyAlignment="1">
      <alignment horizontal="left" indent="3"/>
    </xf>
    <xf numFmtId="49" fontId="17" fillId="0" borderId="44" xfId="0" applyNumberFormat="1" applyFont="1" applyBorder="1" applyAlignment="1">
      <alignment horizontal="left" indent="3"/>
    </xf>
    <xf numFmtId="49" fontId="15" fillId="0" borderId="15" xfId="0" applyNumberFormat="1" applyFont="1" applyBorder="1"/>
    <xf numFmtId="49" fontId="15" fillId="0" borderId="5" xfId="0" applyNumberFormat="1" applyFont="1" applyBorder="1"/>
    <xf numFmtId="49" fontId="16" fillId="0" borderId="24" xfId="0" applyNumberFormat="1" applyFont="1" applyBorder="1" applyAlignment="1">
      <alignment horizontal="center"/>
    </xf>
    <xf numFmtId="49" fontId="15" fillId="0" borderId="34" xfId="0" applyNumberFormat="1" applyFont="1" applyBorder="1" applyAlignment="1">
      <alignment horizontal="center" vertical="center" wrapText="1"/>
    </xf>
    <xf numFmtId="49" fontId="15" fillId="0" borderId="41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/>
    </xf>
    <xf numFmtId="49" fontId="15" fillId="0" borderId="45" xfId="0" applyNumberFormat="1" applyFont="1" applyBorder="1" applyAlignment="1">
      <alignment horizontal="center"/>
    </xf>
    <xf numFmtId="49" fontId="15" fillId="0" borderId="34" xfId="0" applyNumberFormat="1" applyFont="1" applyBorder="1" applyAlignment="1">
      <alignment horizontal="center"/>
    </xf>
    <xf numFmtId="49" fontId="16" fillId="0" borderId="30" xfId="0" applyNumberFormat="1" applyFont="1" applyBorder="1" applyAlignment="1">
      <alignment horizontal="center"/>
    </xf>
    <xf numFmtId="49" fontId="16" fillId="0" borderId="22" xfId="0" applyNumberFormat="1" applyFont="1" applyBorder="1" applyAlignment="1">
      <alignment horizontal="center"/>
    </xf>
    <xf numFmtId="49" fontId="17" fillId="0" borderId="22" xfId="0" applyNumberFormat="1" applyFont="1" applyBorder="1" applyAlignment="1">
      <alignment horizontal="center"/>
    </xf>
    <xf numFmtId="49" fontId="15" fillId="0" borderId="35" xfId="0" applyNumberFormat="1" applyFont="1" applyBorder="1" applyAlignment="1">
      <alignment horizontal="center"/>
    </xf>
    <xf numFmtId="49" fontId="16" fillId="0" borderId="23" xfId="0" applyNumberFormat="1" applyFont="1" applyBorder="1" applyAlignment="1">
      <alignment horizontal="center"/>
    </xf>
    <xf numFmtId="49" fontId="17" fillId="0" borderId="24" xfId="0" applyNumberFormat="1" applyFont="1" applyBorder="1" applyAlignment="1">
      <alignment horizontal="center"/>
    </xf>
    <xf numFmtId="49" fontId="17" fillId="0" borderId="23" xfId="0" applyNumberFormat="1" applyFont="1" applyBorder="1" applyAlignment="1">
      <alignment horizontal="center"/>
    </xf>
    <xf numFmtId="49" fontId="15" fillId="0" borderId="21" xfId="0" applyNumberFormat="1" applyFont="1" applyBorder="1" applyAlignment="1">
      <alignment horizontal="center"/>
    </xf>
    <xf numFmtId="49" fontId="15" fillId="0" borderId="24" xfId="0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/>
    </xf>
    <xf numFmtId="49" fontId="15" fillId="0" borderId="46" xfId="0" applyNumberFormat="1" applyFont="1" applyBorder="1" applyAlignment="1">
      <alignment horizontal="center"/>
    </xf>
    <xf numFmtId="3" fontId="18" fillId="0" borderId="40" xfId="0" applyNumberFormat="1" applyFont="1" applyBorder="1"/>
    <xf numFmtId="3" fontId="18" fillId="0" borderId="38" xfId="0" applyNumberFormat="1" applyFont="1" applyBorder="1"/>
    <xf numFmtId="3" fontId="18" fillId="0" borderId="39" xfId="0" applyNumberFormat="1" applyFont="1" applyBorder="1"/>
    <xf numFmtId="49" fontId="17" fillId="0" borderId="5" xfId="0" applyNumberFormat="1" applyFont="1" applyBorder="1" applyAlignment="1">
      <alignment horizontal="left"/>
    </xf>
    <xf numFmtId="164" fontId="17" fillId="0" borderId="4" xfId="0" applyNumberFormat="1" applyFont="1" applyBorder="1"/>
    <xf numFmtId="164" fontId="17" fillId="0" borderId="25" xfId="0" applyNumberFormat="1" applyFont="1" applyBorder="1"/>
    <xf numFmtId="164" fontId="17" fillId="0" borderId="26" xfId="0" applyNumberFormat="1" applyFont="1" applyBorder="1"/>
    <xf numFmtId="49" fontId="17" fillId="2" borderId="22" xfId="0" applyNumberFormat="1" applyFont="1" applyFill="1" applyBorder="1" applyAlignment="1">
      <alignment horizontal="center"/>
    </xf>
    <xf numFmtId="49" fontId="17" fillId="2" borderId="42" xfId="0" applyNumberFormat="1" applyFont="1" applyFill="1" applyBorder="1" applyAlignment="1">
      <alignment horizontal="left" indent="3"/>
    </xf>
    <xf numFmtId="3" fontId="17" fillId="2" borderId="20" xfId="0" applyNumberFormat="1" applyFont="1" applyFill="1" applyBorder="1"/>
    <xf numFmtId="3" fontId="17" fillId="2" borderId="2" xfId="0" applyNumberFormat="1" applyFont="1" applyFill="1" applyBorder="1"/>
    <xf numFmtId="3" fontId="17" fillId="2" borderId="18" xfId="0" applyNumberFormat="1" applyFont="1" applyFill="1" applyBorder="1"/>
    <xf numFmtId="49" fontId="17" fillId="0" borderId="22" xfId="0" applyNumberFormat="1" applyFont="1" applyFill="1" applyBorder="1" applyAlignment="1">
      <alignment horizontal="center"/>
    </xf>
    <xf numFmtId="49" fontId="17" fillId="0" borderId="42" xfId="0" applyNumberFormat="1" applyFont="1" applyFill="1" applyBorder="1" applyAlignment="1">
      <alignment horizontal="left" indent="3"/>
    </xf>
    <xf numFmtId="3" fontId="15" fillId="0" borderId="13" xfId="0" applyNumberFormat="1" applyFont="1" applyFill="1" applyBorder="1"/>
    <xf numFmtId="3" fontId="15" fillId="0" borderId="10" xfId="0" applyNumberFormat="1" applyFont="1" applyFill="1" applyBorder="1"/>
    <xf numFmtId="3" fontId="15" fillId="0" borderId="9" xfId="0" applyNumberFormat="1" applyFont="1" applyFill="1" applyBorder="1"/>
    <xf numFmtId="49" fontId="16" fillId="0" borderId="7" xfId="0" applyNumberFormat="1" applyFont="1" applyFill="1" applyBorder="1" applyAlignment="1">
      <alignment horizontal="left" indent="2"/>
    </xf>
    <xf numFmtId="3" fontId="16" fillId="0" borderId="6" xfId="0" applyNumberFormat="1" applyFont="1" applyFill="1" applyBorder="1"/>
    <xf numFmtId="3" fontId="16" fillId="0" borderId="16" xfId="0" applyNumberFormat="1" applyFont="1" applyFill="1" applyBorder="1"/>
    <xf numFmtId="3" fontId="16" fillId="0" borderId="17" xfId="0" applyNumberFormat="1" applyFont="1" applyFill="1" applyBorder="1"/>
    <xf numFmtId="3" fontId="17" fillId="0" borderId="0" xfId="0" applyNumberFormat="1" applyFont="1" applyFill="1"/>
    <xf numFmtId="3" fontId="16" fillId="0" borderId="0" xfId="0" applyNumberFormat="1" applyFont="1" applyFill="1"/>
    <xf numFmtId="3" fontId="15" fillId="0" borderId="0" xfId="0" applyNumberFormat="1" applyFont="1" applyFill="1"/>
    <xf numFmtId="49" fontId="16" fillId="0" borderId="15" xfId="0" applyNumberFormat="1" applyFont="1" applyBorder="1" applyAlignment="1">
      <alignment horizontal="left" indent="1"/>
    </xf>
    <xf numFmtId="49" fontId="15" fillId="0" borderId="47" xfId="0" applyNumberFormat="1" applyFont="1" applyBorder="1"/>
    <xf numFmtId="49" fontId="17" fillId="0" borderId="42" xfId="0" applyNumberFormat="1" applyFont="1" applyBorder="1" applyAlignment="1">
      <alignment horizontal="left" indent="2"/>
    </xf>
    <xf numFmtId="49" fontId="17" fillId="0" borderId="42" xfId="0" applyNumberFormat="1" applyFont="1" applyBorder="1" applyAlignment="1">
      <alignment horizontal="left" indent="1"/>
    </xf>
    <xf numFmtId="49" fontId="17" fillId="0" borderId="44" xfId="0" applyNumberFormat="1" applyFont="1" applyBorder="1" applyAlignment="1">
      <alignment horizontal="left" indent="1"/>
    </xf>
    <xf numFmtId="49" fontId="16" fillId="0" borderId="21" xfId="0" applyNumberFormat="1" applyFont="1" applyBorder="1" applyAlignment="1">
      <alignment horizontal="center"/>
    </xf>
    <xf numFmtId="49" fontId="16" fillId="0" borderId="48" xfId="0" applyNumberFormat="1" applyFont="1" applyBorder="1" applyAlignment="1">
      <alignment horizontal="left" indent="1"/>
    </xf>
    <xf numFmtId="49" fontId="16" fillId="0" borderId="42" xfId="0" applyNumberFormat="1" applyFont="1" applyBorder="1" applyAlignment="1">
      <alignment horizontal="left" indent="1"/>
    </xf>
    <xf numFmtId="49" fontId="16" fillId="0" borderId="49" xfId="0" applyNumberFormat="1" applyFont="1" applyBorder="1" applyAlignment="1">
      <alignment horizontal="left" inden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3" fontId="15" fillId="0" borderId="50" xfId="0" applyNumberFormat="1" applyFont="1" applyBorder="1"/>
    <xf numFmtId="3" fontId="15" fillId="0" borderId="51" xfId="0" applyNumberFormat="1" applyFont="1" applyBorder="1"/>
    <xf numFmtId="3" fontId="15" fillId="0" borderId="52" xfId="0" applyNumberFormat="1" applyFont="1" applyBorder="1"/>
    <xf numFmtId="49" fontId="15" fillId="0" borderId="45" xfId="0" applyNumberFormat="1" applyFont="1" applyBorder="1"/>
    <xf numFmtId="49" fontId="17" fillId="0" borderId="42" xfId="0" applyNumberFormat="1" applyFont="1" applyBorder="1" applyAlignment="1">
      <alignment horizontal="left" wrapText="1" indent="1"/>
    </xf>
    <xf numFmtId="49" fontId="17" fillId="0" borderId="53" xfId="0" applyNumberFormat="1" applyFont="1" applyBorder="1" applyAlignment="1">
      <alignment horizontal="left" wrapText="1" indent="1"/>
    </xf>
    <xf numFmtId="49" fontId="17" fillId="0" borderId="49" xfId="0" applyNumberFormat="1" applyFont="1" applyBorder="1" applyAlignment="1">
      <alignment horizontal="left" wrapText="1" indent="1"/>
    </xf>
    <xf numFmtId="3" fontId="15" fillId="0" borderId="9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13" xfId="0" applyNumberFormat="1" applyFont="1" applyBorder="1" applyAlignment="1">
      <alignment horizontal="right"/>
    </xf>
    <xf numFmtId="0" fontId="7" fillId="0" borderId="0" xfId="11" applyFont="1"/>
    <xf numFmtId="0" fontId="12" fillId="0" borderId="0" xfId="11" applyFont="1"/>
    <xf numFmtId="164" fontId="12" fillId="0" borderId="54" xfId="11" applyNumberFormat="1" applyFont="1" applyFill="1" applyBorder="1" applyAlignment="1">
      <alignment horizontal="center" vertical="center" wrapText="1"/>
    </xf>
    <xf numFmtId="164" fontId="11" fillId="0" borderId="54" xfId="11" applyNumberFormat="1" applyFont="1" applyFill="1" applyBorder="1" applyAlignment="1"/>
    <xf numFmtId="0" fontId="11" fillId="0" borderId="47" xfId="11" applyFont="1" applyFill="1" applyBorder="1" applyAlignment="1">
      <alignment horizontal="left"/>
    </xf>
    <xf numFmtId="4" fontId="12" fillId="0" borderId="54" xfId="11" applyNumberFormat="1" applyFont="1" applyFill="1" applyBorder="1" applyAlignment="1">
      <alignment horizontal="center" vertical="center" wrapText="1"/>
    </xf>
    <xf numFmtId="0" fontId="12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164" fontId="11" fillId="0" borderId="51" xfId="11" applyNumberFormat="1" applyFont="1" applyFill="1" applyBorder="1" applyAlignment="1">
      <alignment horizontal="center" vertical="center" wrapText="1"/>
    </xf>
    <xf numFmtId="3" fontId="7" fillId="0" borderId="0" xfId="31" applyNumberFormat="1" applyFont="1" applyFill="1" applyAlignment="1">
      <alignment horizontal="right"/>
    </xf>
    <xf numFmtId="3" fontId="9" fillId="0" borderId="0" xfId="11" applyNumberFormat="1" applyFont="1" applyFill="1"/>
    <xf numFmtId="3" fontId="11" fillId="0" borderId="11" xfId="11" applyNumberFormat="1" applyFont="1" applyFill="1" applyBorder="1" applyAlignment="1">
      <alignment vertical="center"/>
    </xf>
    <xf numFmtId="3" fontId="11" fillId="0" borderId="0" xfId="11" applyNumberFormat="1" applyFont="1" applyFill="1" applyBorder="1" applyAlignment="1">
      <alignment vertical="center"/>
    </xf>
    <xf numFmtId="3" fontId="9" fillId="0" borderId="0" xfId="11" applyNumberFormat="1" applyFont="1" applyFill="1" applyBorder="1" applyAlignment="1">
      <alignment vertical="center"/>
    </xf>
    <xf numFmtId="3" fontId="11" fillId="0" borderId="47" xfId="11" applyNumberFormat="1" applyFont="1" applyFill="1" applyBorder="1" applyAlignment="1"/>
    <xf numFmtId="3" fontId="11" fillId="0" borderId="0" xfId="11" applyNumberFormat="1" applyFont="1" applyFill="1"/>
    <xf numFmtId="3" fontId="12" fillId="0" borderId="0" xfId="11" applyNumberFormat="1" applyFont="1" applyFill="1"/>
    <xf numFmtId="0" fontId="11" fillId="0" borderId="0" xfId="11" applyFont="1"/>
    <xf numFmtId="3" fontId="12" fillId="0" borderId="61" xfId="11" applyNumberFormat="1" applyFont="1" applyFill="1" applyBorder="1" applyAlignment="1">
      <alignment vertical="center"/>
    </xf>
    <xf numFmtId="3" fontId="12" fillId="0" borderId="15" xfId="11" applyNumberFormat="1" applyFont="1" applyFill="1" applyBorder="1" applyAlignment="1">
      <alignment vertical="center"/>
    </xf>
    <xf numFmtId="3" fontId="12" fillId="0" borderId="40" xfId="11" applyNumberFormat="1" applyFont="1" applyFill="1" applyBorder="1" applyAlignment="1" applyProtection="1">
      <alignment vertical="center"/>
      <protection locked="0"/>
    </xf>
    <xf numFmtId="3" fontId="12" fillId="0" borderId="54" xfId="11" applyNumberFormat="1" applyFont="1" applyFill="1" applyBorder="1" applyAlignment="1" applyProtection="1">
      <alignment vertical="center"/>
      <protection locked="0"/>
    </xf>
    <xf numFmtId="3" fontId="11" fillId="0" borderId="21" xfId="11" applyNumberFormat="1" applyFont="1" applyFill="1" applyBorder="1" applyAlignment="1">
      <alignment vertical="center"/>
    </xf>
    <xf numFmtId="3" fontId="21" fillId="0" borderId="62" xfId="11" quotePrefix="1" applyNumberFormat="1" applyFont="1" applyFill="1" applyBorder="1" applyAlignment="1">
      <alignment horizontal="left" vertical="center" indent="1"/>
    </xf>
    <xf numFmtId="3" fontId="21" fillId="0" borderId="42" xfId="11" quotePrefix="1" applyNumberFormat="1" applyFont="1" applyFill="1" applyBorder="1" applyAlignment="1">
      <alignment horizontal="left" vertical="center" indent="1"/>
    </xf>
    <xf numFmtId="3" fontId="21" fillId="0" borderId="20" xfId="11" applyNumberFormat="1" applyFont="1" applyFill="1" applyBorder="1" applyAlignment="1" applyProtection="1">
      <alignment vertical="center"/>
      <protection locked="0"/>
    </xf>
    <xf numFmtId="3" fontId="21" fillId="0" borderId="56" xfId="11" applyNumberFormat="1" applyFont="1" applyFill="1" applyBorder="1" applyAlignment="1" applyProtection="1">
      <alignment vertical="center"/>
      <protection locked="0"/>
    </xf>
    <xf numFmtId="3" fontId="10" fillId="0" borderId="22" xfId="11" applyNumberFormat="1" applyFont="1" applyFill="1" applyBorder="1" applyAlignment="1">
      <alignment vertical="center"/>
    </xf>
    <xf numFmtId="3" fontId="12" fillId="0" borderId="62" xfId="11" applyNumberFormat="1" applyFont="1" applyFill="1" applyBorder="1" applyAlignment="1">
      <alignment vertical="center"/>
    </xf>
    <xf numFmtId="3" fontId="12" fillId="0" borderId="42" xfId="11" applyNumberFormat="1" applyFont="1" applyFill="1" applyBorder="1" applyAlignment="1">
      <alignment vertical="center"/>
    </xf>
    <xf numFmtId="3" fontId="12" fillId="0" borderId="20" xfId="11" applyNumberFormat="1" applyFont="1" applyFill="1" applyBorder="1" applyAlignment="1" applyProtection="1">
      <alignment vertical="center"/>
      <protection locked="0"/>
    </xf>
    <xf numFmtId="3" fontId="12" fillId="0" borderId="56" xfId="11" applyNumberFormat="1" applyFont="1" applyFill="1" applyBorder="1" applyAlignment="1" applyProtection="1">
      <alignment vertical="center"/>
      <protection locked="0"/>
    </xf>
    <xf numFmtId="3" fontId="11" fillId="0" borderId="22" xfId="11" applyNumberFormat="1" applyFont="1" applyFill="1" applyBorder="1" applyAlignment="1">
      <alignment vertical="center"/>
    </xf>
    <xf numFmtId="3" fontId="11" fillId="0" borderId="58" xfId="11" applyNumberFormat="1" applyFont="1" applyFill="1" applyBorder="1" applyAlignment="1">
      <alignment vertical="center"/>
    </xf>
    <xf numFmtId="3" fontId="11" fillId="0" borderId="34" xfId="11" applyNumberFormat="1" applyFont="1" applyFill="1" applyBorder="1" applyAlignment="1">
      <alignment vertical="center"/>
    </xf>
    <xf numFmtId="3" fontId="11" fillId="0" borderId="13" xfId="11" applyNumberFormat="1" applyFont="1" applyFill="1" applyBorder="1" applyAlignment="1">
      <alignment vertical="center"/>
    </xf>
    <xf numFmtId="3" fontId="12" fillId="0" borderId="0" xfId="11" applyNumberFormat="1" applyFont="1" applyFill="1" applyAlignment="1">
      <alignment vertical="center"/>
    </xf>
    <xf numFmtId="3" fontId="12" fillId="0" borderId="62" xfId="11" applyNumberFormat="1" applyFont="1" applyFill="1" applyBorder="1" applyAlignment="1">
      <alignment horizontal="left" vertical="center"/>
    </xf>
    <xf numFmtId="3" fontId="12" fillId="0" borderId="62" xfId="11" applyNumberFormat="1" applyFont="1" applyFill="1" applyBorder="1" applyAlignment="1" applyProtection="1">
      <alignment vertical="center"/>
      <protection locked="0"/>
    </xf>
    <xf numFmtId="3" fontId="12" fillId="0" borderId="42" xfId="11" applyNumberFormat="1" applyFont="1" applyFill="1" applyBorder="1" applyAlignment="1" applyProtection="1">
      <alignment vertical="center"/>
      <protection locked="0"/>
    </xf>
    <xf numFmtId="3" fontId="12" fillId="0" borderId="63" xfId="11" applyNumberFormat="1" applyFont="1" applyFill="1" applyBorder="1" applyAlignment="1" applyProtection="1">
      <alignment vertical="center"/>
      <protection locked="0"/>
    </xf>
    <xf numFmtId="3" fontId="12" fillId="0" borderId="5" xfId="11" applyNumberFormat="1" applyFont="1" applyFill="1" applyBorder="1" applyAlignment="1" applyProtection="1">
      <alignment vertical="center"/>
      <protection locked="0"/>
    </xf>
    <xf numFmtId="3" fontId="12" fillId="0" borderId="4" xfId="11" applyNumberFormat="1" applyFont="1" applyFill="1" applyBorder="1" applyAlignment="1" applyProtection="1">
      <alignment vertical="center"/>
      <protection locked="0"/>
    </xf>
    <xf numFmtId="3" fontId="12" fillId="0" borderId="14" xfId="11" applyNumberFormat="1" applyFont="1" applyFill="1" applyBorder="1" applyAlignment="1" applyProtection="1">
      <alignment vertical="center"/>
      <protection locked="0"/>
    </xf>
    <xf numFmtId="3" fontId="12" fillId="0" borderId="49" xfId="11" applyNumberFormat="1" applyFont="1" applyFill="1" applyBorder="1" applyAlignment="1" applyProtection="1">
      <alignment horizontal="left" wrapText="1" indent="1"/>
      <protection locked="0"/>
    </xf>
    <xf numFmtId="3" fontId="12" fillId="0" borderId="18" xfId="11" applyNumberFormat="1" applyFont="1" applyFill="1" applyBorder="1" applyAlignment="1" applyProtection="1">
      <protection locked="0"/>
    </xf>
    <xf numFmtId="3" fontId="12" fillId="0" borderId="62" xfId="11" applyNumberFormat="1" applyFont="1" applyFill="1" applyBorder="1" applyAlignment="1" applyProtection="1">
      <protection locked="0"/>
    </xf>
    <xf numFmtId="3" fontId="12" fillId="0" borderId="2" xfId="11" applyNumberFormat="1" applyFont="1" applyFill="1" applyBorder="1" applyAlignment="1" applyProtection="1">
      <protection locked="0"/>
    </xf>
    <xf numFmtId="3" fontId="12" fillId="0" borderId="56" xfId="11" applyNumberFormat="1" applyFont="1" applyFill="1" applyBorder="1" applyAlignment="1"/>
    <xf numFmtId="3" fontId="12" fillId="0" borderId="22" xfId="11" applyNumberFormat="1" applyFont="1" applyFill="1" applyBorder="1" applyAlignment="1"/>
    <xf numFmtId="3" fontId="11" fillId="0" borderId="9" xfId="11" applyNumberFormat="1" applyFont="1" applyFill="1" applyBorder="1" applyAlignment="1"/>
    <xf numFmtId="3" fontId="11" fillId="0" borderId="11" xfId="11" applyNumberFormat="1" applyFont="1" applyFill="1" applyBorder="1" applyAlignment="1"/>
    <xf numFmtId="3" fontId="11" fillId="0" borderId="10" xfId="11" applyNumberFormat="1" applyFont="1" applyFill="1" applyBorder="1" applyAlignment="1"/>
    <xf numFmtId="3" fontId="11" fillId="0" borderId="58" xfId="11" applyNumberFormat="1" applyFont="1" applyFill="1" applyBorder="1" applyAlignment="1"/>
    <xf numFmtId="3" fontId="11" fillId="0" borderId="34" xfId="11" applyNumberFormat="1" applyFont="1" applyFill="1" applyBorder="1" applyAlignment="1"/>
    <xf numFmtId="3" fontId="10" fillId="0" borderId="43" xfId="11" applyNumberFormat="1" applyFont="1" applyFill="1" applyBorder="1" applyAlignment="1">
      <alignment horizontal="right"/>
    </xf>
    <xf numFmtId="0" fontId="12" fillId="0" borderId="64" xfId="11" applyFont="1" applyBorder="1" applyAlignment="1">
      <alignment horizontal="center" wrapText="1"/>
    </xf>
    <xf numFmtId="0" fontId="12" fillId="0" borderId="65" xfId="11" applyFont="1" applyBorder="1" applyAlignment="1">
      <alignment horizontal="center" wrapText="1"/>
    </xf>
    <xf numFmtId="0" fontId="12" fillId="0" borderId="31" xfId="11" applyFont="1" applyBorder="1" applyAlignment="1">
      <alignment horizontal="center" vertical="center"/>
    </xf>
    <xf numFmtId="3" fontId="10" fillId="0" borderId="0" xfId="11" applyNumberFormat="1" applyFont="1" applyFill="1" applyAlignment="1">
      <alignment horizontal="right"/>
    </xf>
    <xf numFmtId="0" fontId="12" fillId="0" borderId="66" xfId="11" applyFont="1" applyBorder="1" applyAlignment="1">
      <alignment horizontal="center" wrapText="1"/>
    </xf>
    <xf numFmtId="0" fontId="11" fillId="0" borderId="34" xfId="11" applyFont="1" applyBorder="1" applyAlignment="1">
      <alignment horizontal="center" wrapText="1"/>
    </xf>
    <xf numFmtId="0" fontId="12" fillId="0" borderId="67" xfId="11" applyFont="1" applyBorder="1" applyAlignment="1">
      <alignment wrapText="1"/>
    </xf>
    <xf numFmtId="3" fontId="12" fillId="0" borderId="69" xfId="11" applyNumberFormat="1" applyFont="1" applyBorder="1" applyAlignment="1">
      <alignment wrapText="1"/>
    </xf>
    <xf numFmtId="3" fontId="11" fillId="0" borderId="70" xfId="11" applyNumberFormat="1" applyFont="1" applyBorder="1" applyAlignment="1">
      <alignment wrapText="1"/>
    </xf>
    <xf numFmtId="0" fontId="12" fillId="0" borderId="71" xfId="11" applyFont="1" applyBorder="1" applyAlignment="1">
      <alignment wrapText="1"/>
    </xf>
    <xf numFmtId="3" fontId="12" fillId="0" borderId="73" xfId="11" applyNumberFormat="1" applyFont="1" applyBorder="1" applyAlignment="1">
      <alignment wrapText="1"/>
    </xf>
    <xf numFmtId="3" fontId="11" fillId="0" borderId="74" xfId="11" applyNumberFormat="1" applyFont="1" applyBorder="1" applyAlignment="1">
      <alignment wrapText="1"/>
    </xf>
    <xf numFmtId="0" fontId="12" fillId="0" borderId="75" xfId="11" applyFont="1" applyFill="1" applyBorder="1" applyAlignment="1">
      <alignment wrapText="1"/>
    </xf>
    <xf numFmtId="3" fontId="12" fillId="0" borderId="76" xfId="11" applyNumberFormat="1" applyFont="1" applyBorder="1" applyAlignment="1">
      <alignment wrapText="1"/>
    </xf>
    <xf numFmtId="3" fontId="11" fillId="0" borderId="77" xfId="11" applyNumberFormat="1" applyFont="1" applyBorder="1" applyAlignment="1">
      <alignment wrapText="1"/>
    </xf>
    <xf numFmtId="0" fontId="11" fillId="0" borderId="64" xfId="11" applyFont="1" applyBorder="1" applyAlignment="1">
      <alignment wrapText="1"/>
    </xf>
    <xf numFmtId="3" fontId="11" fillId="0" borderId="10" xfId="11" applyNumberFormat="1" applyFont="1" applyBorder="1" applyAlignment="1">
      <alignment wrapText="1"/>
    </xf>
    <xf numFmtId="3" fontId="11" fillId="0" borderId="66" xfId="11" applyNumberFormat="1" applyFont="1" applyBorder="1" applyAlignment="1">
      <alignment wrapText="1"/>
    </xf>
    <xf numFmtId="3" fontId="11" fillId="0" borderId="34" xfId="11" applyNumberFormat="1" applyFont="1" applyBorder="1" applyAlignment="1">
      <alignment wrapText="1"/>
    </xf>
    <xf numFmtId="0" fontId="12" fillId="0" borderId="75" xfId="11" applyFont="1" applyBorder="1" applyAlignment="1">
      <alignment wrapText="1"/>
    </xf>
    <xf numFmtId="0" fontId="11" fillId="0" borderId="78" xfId="11" applyFont="1" applyBorder="1" applyAlignment="1">
      <alignment wrapText="1"/>
    </xf>
    <xf numFmtId="3" fontId="11" fillId="0" borderId="79" xfId="11" applyNumberFormat="1" applyFont="1" applyBorder="1" applyAlignment="1">
      <alignment wrapText="1"/>
    </xf>
    <xf numFmtId="3" fontId="11" fillId="0" borderId="35" xfId="11" applyNumberFormat="1" applyFont="1" applyBorder="1" applyAlignment="1">
      <alignment wrapText="1"/>
    </xf>
    <xf numFmtId="165" fontId="11" fillId="0" borderId="0" xfId="31" applyNumberFormat="1" applyFont="1" applyFill="1" applyBorder="1" applyAlignment="1" applyProtection="1">
      <alignment horizontal="center" vertical="center" wrapText="1"/>
    </xf>
    <xf numFmtId="165" fontId="11" fillId="0" borderId="0" xfId="31" applyNumberFormat="1" applyFont="1" applyFill="1" applyBorder="1" applyAlignment="1" applyProtection="1">
      <alignment horizontal="centerContinuous" vertical="center"/>
    </xf>
    <xf numFmtId="0" fontId="10" fillId="0" borderId="0" xfId="11" applyFont="1" applyFill="1" applyBorder="1" applyAlignment="1" applyProtection="1">
      <alignment horizontal="right"/>
    </xf>
    <xf numFmtId="3" fontId="12" fillId="0" borderId="0" xfId="11" applyNumberFormat="1" applyFont="1"/>
    <xf numFmtId="0" fontId="12" fillId="0" borderId="11" xfId="31" applyFont="1" applyFill="1" applyBorder="1" applyAlignment="1" applyProtection="1">
      <alignment horizontal="center" vertical="center"/>
    </xf>
    <xf numFmtId="0" fontId="12" fillId="0" borderId="61" xfId="31" applyFont="1" applyFill="1" applyBorder="1" applyAlignment="1" applyProtection="1">
      <alignment horizontal="center" vertical="center"/>
    </xf>
    <xf numFmtId="0" fontId="12" fillId="0" borderId="62" xfId="31" applyFont="1" applyFill="1" applyBorder="1" applyAlignment="1" applyProtection="1">
      <alignment horizontal="center" vertical="center"/>
    </xf>
    <xf numFmtId="0" fontId="12" fillId="0" borderId="63" xfId="31" applyFont="1" applyFill="1" applyBorder="1" applyAlignment="1" applyProtection="1">
      <alignment horizontal="center" vertical="center"/>
    </xf>
    <xf numFmtId="0" fontId="11" fillId="0" borderId="11" xfId="31" applyFont="1" applyFill="1" applyBorder="1" applyAlignment="1" applyProtection="1">
      <alignment horizontal="center" vertical="center"/>
    </xf>
    <xf numFmtId="0" fontId="12" fillId="0" borderId="58" xfId="31" applyFont="1" applyFill="1" applyBorder="1" applyAlignment="1" applyProtection="1">
      <alignment horizontal="center" vertical="center"/>
    </xf>
    <xf numFmtId="0" fontId="12" fillId="0" borderId="54" xfId="31" applyFont="1" applyFill="1" applyBorder="1" applyAlignment="1" applyProtection="1">
      <alignment horizontal="left" indent="1"/>
      <protection locked="0"/>
    </xf>
    <xf numFmtId="0" fontId="12" fillId="0" borderId="56" xfId="31" applyFont="1" applyFill="1" applyBorder="1" applyAlignment="1" applyProtection="1">
      <alignment horizontal="left" indent="1"/>
      <protection locked="0"/>
    </xf>
    <xf numFmtId="0" fontId="12" fillId="0" borderId="14" xfId="31" applyFont="1" applyFill="1" applyBorder="1" applyAlignment="1" applyProtection="1">
      <alignment horizontal="left" indent="1"/>
      <protection locked="0"/>
    </xf>
    <xf numFmtId="0" fontId="11" fillId="0" borderId="58" xfId="31" applyFont="1" applyFill="1" applyBorder="1" applyAlignment="1" applyProtection="1">
      <alignment horizontal="left" vertical="center" wrapText="1"/>
    </xf>
    <xf numFmtId="0" fontId="12" fillId="0" borderId="80" xfId="11" applyFont="1" applyBorder="1" applyAlignment="1">
      <alignment horizontal="center" wrapText="1"/>
    </xf>
    <xf numFmtId="0" fontId="12" fillId="0" borderId="81" xfId="11" applyFont="1" applyBorder="1" applyAlignment="1">
      <alignment horizontal="center" wrapText="1"/>
    </xf>
    <xf numFmtId="0" fontId="12" fillId="0" borderId="82" xfId="11" applyFont="1" applyBorder="1" applyAlignment="1">
      <alignment horizontal="center" wrapText="1"/>
    </xf>
    <xf numFmtId="0" fontId="11" fillId="0" borderId="65" xfId="11" applyFont="1" applyBorder="1" applyAlignment="1">
      <alignment horizontal="center" wrapText="1"/>
    </xf>
    <xf numFmtId="0" fontId="11" fillId="0" borderId="83" xfId="11" applyFont="1" applyBorder="1" applyAlignment="1">
      <alignment horizontal="center" wrapText="1"/>
    </xf>
    <xf numFmtId="3" fontId="12" fillId="0" borderId="84" xfId="11" applyNumberFormat="1" applyFont="1" applyBorder="1" applyAlignment="1">
      <alignment wrapText="1"/>
    </xf>
    <xf numFmtId="3" fontId="12" fillId="0" borderId="22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16" xfId="11" applyNumberFormat="1" applyFont="1" applyFill="1" applyBorder="1" applyAlignment="1" applyProtection="1">
      <alignment vertical="center" wrapText="1"/>
      <protection locked="0"/>
    </xf>
    <xf numFmtId="3" fontId="12" fillId="0" borderId="60" xfId="11" applyNumberFormat="1" applyFont="1" applyFill="1" applyBorder="1" applyAlignment="1" applyProtection="1">
      <alignment vertical="center" wrapText="1"/>
      <protection locked="0"/>
    </xf>
    <xf numFmtId="3" fontId="12" fillId="0" borderId="55" xfId="11" applyNumberFormat="1" applyFont="1" applyFill="1" applyBorder="1" applyAlignment="1" applyProtection="1">
      <alignment vertical="center" wrapText="1"/>
      <protection locked="0"/>
    </xf>
    <xf numFmtId="3" fontId="12" fillId="0" borderId="22" xfId="11" applyNumberFormat="1" applyFont="1" applyFill="1" applyBorder="1" applyAlignment="1" applyProtection="1">
      <alignment vertical="center" wrapText="1"/>
      <protection locked="0"/>
    </xf>
    <xf numFmtId="1" fontId="12" fillId="0" borderId="2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62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 applyProtection="1">
      <alignment vertical="center" wrapText="1"/>
    </xf>
    <xf numFmtId="3" fontId="11" fillId="0" borderId="11" xfId="11" applyNumberFormat="1" applyFont="1" applyFill="1" applyBorder="1" applyAlignment="1" applyProtection="1">
      <alignment vertical="center" wrapText="1"/>
    </xf>
    <xf numFmtId="3" fontId="11" fillId="0" borderId="10" xfId="11" applyNumberFormat="1" applyFont="1" applyFill="1" applyBorder="1" applyAlignment="1" applyProtection="1">
      <alignment horizontal="center" vertical="center" wrapText="1"/>
    </xf>
    <xf numFmtId="3" fontId="11" fillId="0" borderId="46" xfId="11" applyNumberFormat="1" applyFont="1" applyFill="1" applyBorder="1" applyAlignment="1">
      <alignment horizontal="center" vertical="center" wrapText="1"/>
    </xf>
    <xf numFmtId="3" fontId="11" fillId="0" borderId="85" xfId="11" applyNumberFormat="1" applyFont="1" applyFill="1" applyBorder="1" applyAlignment="1">
      <alignment horizontal="center" vertical="center" wrapText="1"/>
    </xf>
    <xf numFmtId="3" fontId="11" fillId="0" borderId="58" xfId="11" applyNumberFormat="1" applyFont="1" applyFill="1" applyBorder="1" applyAlignment="1">
      <alignment horizontal="center" vertical="center" wrapText="1"/>
    </xf>
    <xf numFmtId="3" fontId="11" fillId="0" borderId="11" xfId="11" applyNumberFormat="1" applyFont="1" applyFill="1" applyBorder="1" applyAlignment="1">
      <alignment horizontal="center" vertical="center" wrapText="1"/>
    </xf>
    <xf numFmtId="3" fontId="7" fillId="0" borderId="0" xfId="11" applyNumberFormat="1" applyFont="1" applyFill="1" applyAlignment="1">
      <alignment vertical="center" wrapText="1"/>
    </xf>
    <xf numFmtId="3" fontId="7" fillId="0" borderId="0" xfId="11" applyNumberFormat="1" applyFont="1" applyFill="1" applyAlignment="1">
      <alignment horizontal="center" vertical="center" wrapText="1"/>
    </xf>
    <xf numFmtId="3" fontId="12" fillId="0" borderId="0" xfId="11" applyNumberFormat="1" applyFont="1" applyFill="1" applyAlignment="1">
      <alignment vertical="center" wrapText="1"/>
    </xf>
    <xf numFmtId="3" fontId="11" fillId="0" borderId="34" xfId="11" applyNumberFormat="1" applyFont="1" applyFill="1" applyBorder="1" applyAlignment="1">
      <alignment horizontal="center" vertical="center" wrapText="1"/>
    </xf>
    <xf numFmtId="3" fontId="11" fillId="0" borderId="34" xfId="11" applyNumberFormat="1" applyFont="1" applyFill="1" applyBorder="1" applyAlignment="1">
      <alignment horizontal="left" vertical="center" wrapText="1" indent="1"/>
    </xf>
    <xf numFmtId="3" fontId="11" fillId="0" borderId="9" xfId="11" applyNumberFormat="1" applyFont="1" applyFill="1" applyBorder="1" applyAlignment="1" applyProtection="1">
      <alignment vertical="center" wrapText="1"/>
    </xf>
    <xf numFmtId="3" fontId="11" fillId="0" borderId="58" xfId="11" applyNumberFormat="1" applyFont="1" applyFill="1" applyBorder="1" applyAlignment="1" applyProtection="1">
      <alignment vertical="center" wrapText="1"/>
    </xf>
    <xf numFmtId="3" fontId="11" fillId="0" borderId="11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 applyProtection="1">
      <alignment vertical="center" wrapText="1"/>
    </xf>
    <xf numFmtId="3" fontId="11" fillId="0" borderId="87" xfId="11" applyNumberFormat="1" applyFont="1" applyFill="1" applyBorder="1" applyAlignment="1">
      <alignment horizontal="center" vertical="center"/>
    </xf>
    <xf numFmtId="3" fontId="11" fillId="0" borderId="29" xfId="11" applyNumberFormat="1" applyFont="1" applyFill="1" applyBorder="1" applyAlignment="1">
      <alignment horizontal="center" vertical="center" wrapText="1"/>
    </xf>
    <xf numFmtId="3" fontId="12" fillId="0" borderId="17" xfId="11" applyNumberFormat="1" applyFont="1" applyFill="1" applyBorder="1" applyAlignment="1" applyProtection="1">
      <alignment vertical="center" wrapText="1"/>
      <protection locked="0"/>
    </xf>
    <xf numFmtId="3" fontId="12" fillId="0" borderId="49" xfId="11" applyNumberFormat="1" applyFont="1" applyFill="1" applyBorder="1" applyAlignment="1" applyProtection="1">
      <alignment vertical="center" wrapText="1"/>
      <protection locked="0"/>
    </xf>
    <xf numFmtId="3" fontId="12" fillId="0" borderId="56" xfId="11" applyNumberFormat="1" applyFont="1" applyFill="1" applyBorder="1" applyAlignment="1" applyProtection="1">
      <alignment vertical="center" wrapText="1"/>
      <protection locked="0"/>
    </xf>
    <xf numFmtId="3" fontId="12" fillId="0" borderId="62" xfId="11" applyNumberFormat="1" applyFont="1" applyFill="1" applyBorder="1" applyAlignment="1" applyProtection="1">
      <alignment vertical="center" wrapText="1"/>
      <protection locked="0"/>
    </xf>
    <xf numFmtId="3" fontId="12" fillId="0" borderId="2" xfId="11" applyNumberFormat="1" applyFont="1" applyFill="1" applyBorder="1" applyAlignment="1" applyProtection="1">
      <alignment vertical="center" wrapText="1"/>
      <protection locked="0"/>
    </xf>
    <xf numFmtId="3" fontId="12" fillId="0" borderId="18" xfId="11" applyNumberFormat="1" applyFont="1" applyFill="1" applyBorder="1" applyAlignment="1" applyProtection="1">
      <alignment vertical="center" wrapText="1"/>
      <protection locked="0"/>
    </xf>
    <xf numFmtId="3" fontId="11" fillId="0" borderId="22" xfId="11" applyNumberFormat="1" applyFont="1" applyFill="1" applyBorder="1" applyAlignment="1">
      <alignment vertical="center" wrapText="1"/>
    </xf>
    <xf numFmtId="3" fontId="11" fillId="0" borderId="34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21" xfId="11" applyNumberFormat="1" applyFont="1" applyFill="1" applyBorder="1" applyAlignment="1" applyProtection="1">
      <alignment vertical="center" wrapText="1"/>
      <protection locked="0"/>
    </xf>
    <xf numFmtId="3" fontId="11" fillId="0" borderId="21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 applyAlignment="1" applyProtection="1">
      <alignment horizontal="left" vertical="center" wrapText="1" indent="1"/>
      <protection locked="0"/>
    </xf>
    <xf numFmtId="3" fontId="11" fillId="0" borderId="34" xfId="11" applyNumberFormat="1" applyFont="1" applyFill="1" applyBorder="1" applyAlignment="1" applyProtection="1">
      <alignment horizontal="center" vertical="center" wrapText="1"/>
    </xf>
    <xf numFmtId="3" fontId="11" fillId="0" borderId="34" xfId="11" applyNumberFormat="1" applyFont="1" applyFill="1" applyBorder="1" applyAlignment="1" applyProtection="1">
      <alignment vertical="center" wrapText="1"/>
      <protection locked="0"/>
    </xf>
    <xf numFmtId="3" fontId="11" fillId="0" borderId="47" xfId="11" applyNumberFormat="1" applyFont="1" applyFill="1" applyBorder="1" applyAlignment="1" applyProtection="1">
      <alignment vertical="center" wrapText="1"/>
      <protection locked="0"/>
    </xf>
    <xf numFmtId="3" fontId="11" fillId="0" borderId="58" xfId="11" applyNumberFormat="1" applyFont="1" applyFill="1" applyBorder="1" applyAlignment="1" applyProtection="1">
      <alignment vertical="center" wrapText="1"/>
      <protection locked="0"/>
    </xf>
    <xf numFmtId="3" fontId="11" fillId="0" borderId="11" xfId="11" applyNumberFormat="1" applyFont="1" applyFill="1" applyBorder="1" applyAlignment="1" applyProtection="1">
      <alignment vertical="center" wrapText="1"/>
      <protection locked="0"/>
    </xf>
    <xf numFmtId="3" fontId="11" fillId="0" borderId="10" xfId="11" applyNumberFormat="1" applyFont="1" applyFill="1" applyBorder="1" applyAlignment="1" applyProtection="1">
      <alignment vertical="center" wrapText="1"/>
      <protection locked="0"/>
    </xf>
    <xf numFmtId="3" fontId="11" fillId="0" borderId="9" xfId="11" applyNumberFormat="1" applyFont="1" applyFill="1" applyBorder="1" applyAlignment="1" applyProtection="1">
      <alignment vertical="center" wrapText="1"/>
      <protection locked="0"/>
    </xf>
    <xf numFmtId="3" fontId="12" fillId="0" borderId="21" xfId="11" applyNumberFormat="1" applyFont="1" applyFill="1" applyBorder="1" applyAlignment="1">
      <alignment horizontal="center" vertical="center" wrapText="1"/>
    </xf>
    <xf numFmtId="3" fontId="12" fillId="0" borderId="21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54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48" xfId="11" applyNumberFormat="1" applyFont="1" applyFill="1" applyBorder="1" applyAlignment="1" applyProtection="1">
      <alignment vertical="center" wrapText="1"/>
      <protection locked="0"/>
    </xf>
    <xf numFmtId="3" fontId="12" fillId="0" borderId="61" xfId="11" applyNumberFormat="1" applyFont="1" applyFill="1" applyBorder="1" applyAlignment="1" applyProtection="1">
      <alignment vertical="center" wrapText="1"/>
      <protection locked="0"/>
    </xf>
    <xf numFmtId="3" fontId="12" fillId="0" borderId="38" xfId="11" applyNumberFormat="1" applyFont="1" applyFill="1" applyBorder="1" applyAlignment="1" applyProtection="1">
      <alignment vertical="center" wrapText="1"/>
      <protection locked="0"/>
    </xf>
    <xf numFmtId="3" fontId="12" fillId="0" borderId="39" xfId="11" applyNumberFormat="1" applyFont="1" applyFill="1" applyBorder="1" applyAlignment="1" applyProtection="1">
      <alignment vertical="center" wrapText="1"/>
      <protection locked="0"/>
    </xf>
    <xf numFmtId="165" fontId="11" fillId="0" borderId="41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24" xfId="11" applyNumberFormat="1" applyFont="1" applyFill="1" applyBorder="1" applyAlignment="1">
      <alignment horizontal="center" vertical="center" wrapText="1"/>
    </xf>
    <xf numFmtId="3" fontId="12" fillId="0" borderId="5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24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24" xfId="11" applyNumberFormat="1" applyFont="1" applyFill="1" applyBorder="1" applyAlignment="1" applyProtection="1">
      <alignment vertical="center" wrapText="1"/>
      <protection locked="0"/>
    </xf>
    <xf numFmtId="3" fontId="12" fillId="0" borderId="63" xfId="11" applyNumberFormat="1" applyFont="1" applyFill="1" applyBorder="1" applyAlignment="1" applyProtection="1">
      <alignment vertical="center" wrapText="1"/>
      <protection locked="0"/>
    </xf>
    <xf numFmtId="3" fontId="12" fillId="0" borderId="25" xfId="11" applyNumberFormat="1" applyFont="1" applyFill="1" applyBorder="1" applyAlignment="1" applyProtection="1">
      <alignment vertical="center" wrapText="1"/>
      <protection locked="0"/>
    </xf>
    <xf numFmtId="3" fontId="12" fillId="0" borderId="26" xfId="11" applyNumberFormat="1" applyFont="1" applyFill="1" applyBorder="1" applyAlignment="1" applyProtection="1">
      <alignment vertical="center" wrapText="1"/>
      <protection locked="0"/>
    </xf>
    <xf numFmtId="3" fontId="11" fillId="0" borderId="88" xfId="11" applyNumberFormat="1" applyFont="1" applyFill="1" applyBorder="1" applyAlignment="1">
      <alignment vertical="center" wrapText="1"/>
    </xf>
    <xf numFmtId="3" fontId="11" fillId="3" borderId="58" xfId="11" applyNumberFormat="1" applyFont="1" applyFill="1" applyBorder="1" applyAlignment="1" applyProtection="1">
      <alignment horizontal="center" vertical="center" wrapText="1"/>
    </xf>
    <xf numFmtId="3" fontId="11" fillId="0" borderId="34" xfId="11" applyNumberFormat="1" applyFont="1" applyFill="1" applyBorder="1" applyAlignment="1">
      <alignment vertical="center" wrapText="1"/>
    </xf>
    <xf numFmtId="3" fontId="11" fillId="0" borderId="24" xfId="11" applyNumberFormat="1" applyFont="1" applyFill="1" applyBorder="1" applyAlignment="1">
      <alignment vertical="center" wrapText="1"/>
    </xf>
    <xf numFmtId="3" fontId="21" fillId="0" borderId="20" xfId="11" applyNumberFormat="1" applyFont="1" applyFill="1" applyBorder="1" applyAlignment="1" applyProtection="1">
      <alignment vertical="center" wrapText="1"/>
      <protection locked="0"/>
    </xf>
    <xf numFmtId="3" fontId="12" fillId="0" borderId="20" xfId="11" applyNumberFormat="1" applyFont="1" applyFill="1" applyBorder="1" applyAlignment="1" applyProtection="1">
      <alignment vertical="center" wrapText="1"/>
      <protection locked="0"/>
    </xf>
    <xf numFmtId="3" fontId="12" fillId="0" borderId="40" xfId="11" applyNumberFormat="1" applyFont="1" applyFill="1" applyBorder="1" applyAlignment="1" applyProtection="1">
      <alignment vertical="center" wrapText="1"/>
      <protection locked="0"/>
    </xf>
    <xf numFmtId="3" fontId="11" fillId="0" borderId="9" xfId="11" applyNumberFormat="1" applyFont="1" applyFill="1" applyBorder="1" applyAlignment="1">
      <alignment vertical="center" wrapText="1"/>
    </xf>
    <xf numFmtId="49" fontId="11" fillId="0" borderId="11" xfId="11" applyNumberFormat="1" applyFont="1" applyFill="1" applyBorder="1" applyAlignment="1">
      <alignment horizontal="center" vertical="center" wrapText="1"/>
    </xf>
    <xf numFmtId="49" fontId="12" fillId="0" borderId="63" xfId="11" applyNumberFormat="1" applyFont="1" applyFill="1" applyBorder="1" applyAlignment="1">
      <alignment horizontal="center" vertical="center" wrapText="1"/>
    </xf>
    <xf numFmtId="3" fontId="21" fillId="0" borderId="20" xfId="11" applyNumberFormat="1" applyFont="1" applyFill="1" applyBorder="1" applyAlignment="1" applyProtection="1">
      <alignment horizontal="left" vertical="center" wrapText="1" indent="2"/>
      <protection locked="0"/>
    </xf>
    <xf numFmtId="3" fontId="12" fillId="0" borderId="20" xfId="11" applyNumberFormat="1" applyFont="1" applyFill="1" applyBorder="1" applyAlignment="1" applyProtection="1">
      <alignment horizontal="left" vertical="center" wrapText="1" indent="1"/>
      <protection locked="0"/>
    </xf>
    <xf numFmtId="49" fontId="12" fillId="0" borderId="62" xfId="11" applyNumberFormat="1" applyFont="1" applyFill="1" applyBorder="1" applyAlignment="1">
      <alignment horizontal="center" vertical="center" wrapText="1"/>
    </xf>
    <xf numFmtId="3" fontId="12" fillId="0" borderId="40" xfId="11" applyNumberFormat="1" applyFont="1" applyFill="1" applyBorder="1" applyAlignment="1" applyProtection="1">
      <alignment horizontal="left" vertical="center" wrapText="1" indent="1"/>
      <protection locked="0"/>
    </xf>
    <xf numFmtId="49" fontId="12" fillId="0" borderId="61" xfId="11" applyNumberFormat="1" applyFont="1" applyFill="1" applyBorder="1" applyAlignment="1">
      <alignment horizontal="center" vertical="center" wrapText="1"/>
    </xf>
    <xf numFmtId="3" fontId="10" fillId="0" borderId="0" xfId="11" applyNumberFormat="1" applyFont="1" applyFill="1" applyAlignment="1">
      <alignment horizontal="right" vertical="center"/>
    </xf>
    <xf numFmtId="3" fontId="21" fillId="0" borderId="0" xfId="11" applyNumberFormat="1" applyFont="1" applyFill="1" applyAlignment="1">
      <alignment vertical="center" wrapText="1"/>
    </xf>
    <xf numFmtId="3" fontId="21" fillId="0" borderId="0" xfId="11" applyNumberFormat="1" applyFont="1" applyFill="1" applyAlignment="1">
      <alignment horizontal="center" vertical="center" wrapText="1"/>
    </xf>
    <xf numFmtId="3" fontId="11" fillId="0" borderId="9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>
      <alignment vertical="center" wrapText="1"/>
    </xf>
    <xf numFmtId="3" fontId="11" fillId="0" borderId="22" xfId="33" applyNumberFormat="1" applyFont="1" applyFill="1" applyBorder="1" applyAlignment="1" applyProtection="1">
      <alignment vertical="center"/>
    </xf>
    <xf numFmtId="3" fontId="12" fillId="0" borderId="18" xfId="33" applyNumberFormat="1" applyFont="1" applyFill="1" applyBorder="1" applyAlignment="1" applyProtection="1">
      <alignment vertical="center"/>
      <protection locked="0"/>
    </xf>
    <xf numFmtId="3" fontId="12" fillId="0" borderId="62" xfId="33" applyNumberFormat="1" applyFont="1" applyFill="1" applyBorder="1" applyAlignment="1" applyProtection="1">
      <alignment horizontal="left" vertical="center" indent="1"/>
    </xf>
    <xf numFmtId="3" fontId="11" fillId="0" borderId="21" xfId="33" applyNumberFormat="1" applyFont="1" applyFill="1" applyBorder="1" applyAlignment="1" applyProtection="1">
      <alignment vertical="center"/>
    </xf>
    <xf numFmtId="3" fontId="12" fillId="0" borderId="39" xfId="33" applyNumberFormat="1" applyFont="1" applyFill="1" applyBorder="1" applyAlignment="1" applyProtection="1">
      <alignment vertical="center"/>
      <protection locked="0"/>
    </xf>
    <xf numFmtId="3" fontId="12" fillId="0" borderId="61" xfId="33" applyNumberFormat="1" applyFont="1" applyFill="1" applyBorder="1" applyAlignment="1" applyProtection="1">
      <alignment horizontal="left" vertical="center" indent="1"/>
    </xf>
    <xf numFmtId="3" fontId="12" fillId="0" borderId="86" xfId="33" applyNumberFormat="1" applyFont="1" applyFill="1" applyBorder="1" applyAlignment="1" applyProtection="1">
      <alignment horizontal="left" vertical="center" indent="1"/>
    </xf>
    <xf numFmtId="3" fontId="11" fillId="0" borderId="51" xfId="33" applyNumberFormat="1" applyFont="1" applyFill="1" applyBorder="1" applyAlignment="1" applyProtection="1">
      <alignment horizontal="center" vertical="center"/>
    </xf>
    <xf numFmtId="3" fontId="11" fillId="0" borderId="11" xfId="33" applyNumberFormat="1" applyFont="1" applyFill="1" applyBorder="1" applyAlignment="1" applyProtection="1">
      <alignment horizontal="center" vertical="center" wrapText="1"/>
    </xf>
    <xf numFmtId="3" fontId="11" fillId="0" borderId="9" xfId="33" applyNumberFormat="1" applyFont="1" applyFill="1" applyBorder="1" applyAlignment="1" applyProtection="1">
      <alignment horizontal="center" vertical="center"/>
    </xf>
    <xf numFmtId="3" fontId="11" fillId="0" borderId="34" xfId="33" applyNumberFormat="1" applyFont="1" applyFill="1" applyBorder="1" applyAlignment="1" applyProtection="1">
      <alignment horizontal="center" vertical="center"/>
    </xf>
    <xf numFmtId="3" fontId="11" fillId="0" borderId="9" xfId="33" applyNumberFormat="1" applyFont="1" applyFill="1" applyBorder="1" applyAlignment="1" applyProtection="1">
      <alignment vertical="center"/>
    </xf>
    <xf numFmtId="3" fontId="11" fillId="0" borderId="9" xfId="33" applyNumberFormat="1" applyFont="1" applyFill="1" applyBorder="1" applyAlignment="1" applyProtection="1">
      <alignment horizontal="left" indent="1"/>
      <protection locked="0"/>
    </xf>
    <xf numFmtId="3" fontId="11" fillId="0" borderId="52" xfId="11" applyNumberFormat="1" applyFont="1" applyFill="1" applyBorder="1" applyAlignment="1">
      <alignment horizontal="center" vertical="center"/>
    </xf>
    <xf numFmtId="3" fontId="11" fillId="0" borderId="85" xfId="11" applyNumberFormat="1" applyFont="1" applyFill="1" applyBorder="1" applyAlignment="1">
      <alignment horizontal="center" vertical="center"/>
    </xf>
    <xf numFmtId="3" fontId="11" fillId="0" borderId="52" xfId="33" applyNumberFormat="1" applyFont="1" applyFill="1" applyBorder="1" applyAlignment="1" applyProtection="1">
      <alignment horizontal="center" vertical="center"/>
    </xf>
    <xf numFmtId="3" fontId="11" fillId="0" borderId="11" xfId="33" applyNumberFormat="1" applyFont="1" applyFill="1" applyBorder="1" applyAlignment="1" applyProtection="1">
      <alignment horizontal="left" vertical="center" indent="1"/>
    </xf>
    <xf numFmtId="3" fontId="11" fillId="0" borderId="58" xfId="33" applyNumberFormat="1" applyFont="1" applyFill="1" applyBorder="1" applyAlignment="1" applyProtection="1">
      <alignment vertical="center"/>
    </xf>
    <xf numFmtId="3" fontId="11" fillId="0" borderId="11" xfId="33" applyNumberFormat="1" applyFont="1" applyFill="1" applyBorder="1" applyAlignment="1" applyProtection="1">
      <alignment vertical="center"/>
    </xf>
    <xf numFmtId="3" fontId="11" fillId="0" borderId="10" xfId="33" applyNumberFormat="1" applyFont="1" applyFill="1" applyBorder="1" applyAlignment="1" applyProtection="1">
      <alignment vertical="center"/>
    </xf>
    <xf numFmtId="3" fontId="11" fillId="0" borderId="12" xfId="33" applyNumberFormat="1" applyFont="1" applyFill="1" applyBorder="1" applyAlignment="1" applyProtection="1">
      <alignment vertical="center"/>
    </xf>
    <xf numFmtId="3" fontId="11" fillId="0" borderId="86" xfId="33" applyNumberFormat="1" applyFont="1" applyFill="1" applyBorder="1" applyAlignment="1" applyProtection="1">
      <alignment horizontal="left" vertical="center" indent="1"/>
    </xf>
    <xf numFmtId="3" fontId="11" fillId="0" borderId="34" xfId="33" applyNumberFormat="1" applyFont="1" applyFill="1" applyBorder="1" applyAlignment="1" applyProtection="1">
      <alignment vertical="center"/>
    </xf>
    <xf numFmtId="3" fontId="11" fillId="0" borderId="89" xfId="33" applyNumberFormat="1" applyFont="1" applyFill="1" applyBorder="1" applyAlignment="1" applyProtection="1">
      <alignment horizontal="left" vertical="center" indent="1"/>
    </xf>
    <xf numFmtId="3" fontId="11" fillId="0" borderId="58" xfId="33" applyNumberFormat="1" applyFont="1" applyFill="1" applyBorder="1" applyAlignment="1" applyProtection="1"/>
    <xf numFmtId="3" fontId="11" fillId="0" borderId="10" xfId="33" applyNumberFormat="1" applyFont="1" applyFill="1" applyBorder="1" applyAlignment="1" applyProtection="1"/>
    <xf numFmtId="3" fontId="11" fillId="0" borderId="34" xfId="33" applyNumberFormat="1" applyFont="1" applyFill="1" applyBorder="1" applyAlignment="1" applyProtection="1"/>
    <xf numFmtId="3" fontId="12" fillId="0" borderId="0" xfId="33" applyNumberFormat="1" applyFont="1" applyFill="1" applyProtection="1">
      <protection locked="0"/>
    </xf>
    <xf numFmtId="3" fontId="21" fillId="0" borderId="0" xfId="33" applyNumberFormat="1" applyFont="1" applyFill="1" applyAlignment="1" applyProtection="1">
      <alignment horizontal="right"/>
    </xf>
    <xf numFmtId="3" fontId="12" fillId="0" borderId="63" xfId="33" applyNumberFormat="1" applyFont="1" applyFill="1" applyBorder="1" applyAlignment="1" applyProtection="1">
      <alignment horizontal="left" vertical="center" indent="1"/>
    </xf>
    <xf numFmtId="3" fontId="12" fillId="0" borderId="26" xfId="33" applyNumberFormat="1" applyFont="1" applyFill="1" applyBorder="1" applyAlignment="1" applyProtection="1">
      <alignment vertical="center"/>
      <protection locked="0"/>
    </xf>
    <xf numFmtId="3" fontId="11" fillId="0" borderId="86" xfId="11" applyNumberFormat="1" applyFont="1" applyFill="1" applyBorder="1" applyAlignment="1">
      <alignment horizontal="center" vertical="center"/>
    </xf>
    <xf numFmtId="3" fontId="11" fillId="0" borderId="45" xfId="11" applyNumberFormat="1" applyFont="1" applyFill="1" applyBorder="1" applyAlignment="1">
      <alignment horizontal="center" vertical="center"/>
    </xf>
    <xf numFmtId="3" fontId="7" fillId="0" borderId="0" xfId="31" applyNumberFormat="1" applyFont="1" applyFill="1" applyAlignment="1"/>
    <xf numFmtId="0" fontId="12" fillId="0" borderId="56" xfId="11" applyFont="1" applyFill="1" applyBorder="1" applyAlignment="1" applyProtection="1">
      <alignment horizontal="left" vertical="center" wrapText="1" indent="1"/>
      <protection locked="0"/>
    </xf>
    <xf numFmtId="0" fontId="12" fillId="0" borderId="8" xfId="11" applyFont="1" applyFill="1" applyBorder="1" applyAlignment="1" applyProtection="1">
      <alignment horizontal="left" vertical="center" wrapText="1" indent="1"/>
      <protection locked="0"/>
    </xf>
    <xf numFmtId="0" fontId="11" fillId="0" borderId="58" xfId="11" applyFont="1" applyFill="1" applyBorder="1" applyAlignment="1" applyProtection="1">
      <alignment horizontal="left" vertical="center" wrapText="1"/>
      <protection locked="0"/>
    </xf>
    <xf numFmtId="0" fontId="12" fillId="0" borderId="14" xfId="11" applyFont="1" applyFill="1" applyBorder="1" applyAlignment="1">
      <alignment horizontal="left" vertical="center" wrapText="1" indent="1"/>
    </xf>
    <xf numFmtId="0" fontId="11" fillId="0" borderId="54" xfId="11" applyFont="1" applyFill="1" applyBorder="1" applyAlignment="1">
      <alignment horizontal="center" vertical="center" wrapText="1"/>
    </xf>
    <xf numFmtId="3" fontId="11" fillId="0" borderId="95" xfId="11" applyNumberFormat="1" applyFont="1" applyFill="1" applyBorder="1" applyAlignment="1">
      <alignment horizontal="center" vertical="center" wrapText="1"/>
    </xf>
    <xf numFmtId="0" fontId="11" fillId="0" borderId="3" xfId="11" applyFont="1" applyFill="1" applyBorder="1" applyAlignment="1" applyProtection="1">
      <alignment horizontal="left" vertical="center" wrapText="1"/>
      <protection locked="0"/>
    </xf>
    <xf numFmtId="0" fontId="11" fillId="0" borderId="0" xfId="11" applyFont="1" applyFill="1" applyAlignment="1">
      <alignment horizontal="center" vertical="center"/>
    </xf>
    <xf numFmtId="0" fontId="11" fillId="0" borderId="0" xfId="11" applyFont="1" applyFill="1" applyAlignment="1">
      <alignment horizontal="centerContinuous" vertical="center"/>
    </xf>
    <xf numFmtId="49" fontId="11" fillId="0" borderId="47" xfId="11" applyNumberFormat="1" applyFont="1" applyFill="1" applyBorder="1" applyAlignment="1">
      <alignment horizontal="center" vertical="center" wrapText="1"/>
    </xf>
    <xf numFmtId="49" fontId="21" fillId="0" borderId="63" xfId="11" applyNumberFormat="1" applyFont="1" applyFill="1" applyBorder="1" applyAlignment="1">
      <alignment horizontal="center" vertical="center" wrapText="1"/>
    </xf>
    <xf numFmtId="49" fontId="12" fillId="0" borderId="60" xfId="11" applyNumberFormat="1" applyFont="1" applyFill="1" applyBorder="1" applyAlignment="1">
      <alignment horizontal="center" vertical="center" wrapText="1"/>
    </xf>
    <xf numFmtId="49" fontId="21" fillId="0" borderId="62" xfId="11" applyNumberFormat="1" applyFont="1" applyFill="1" applyBorder="1" applyAlignment="1">
      <alignment horizontal="center" vertical="center" wrapText="1"/>
    </xf>
    <xf numFmtId="0" fontId="7" fillId="0" borderId="0" xfId="11" applyFont="1" applyFill="1" applyAlignment="1">
      <alignment horizontal="right"/>
    </xf>
    <xf numFmtId="0" fontId="11" fillId="0" borderId="11" xfId="11" applyFont="1" applyFill="1" applyBorder="1" applyAlignment="1">
      <alignment horizontal="center" vertical="center"/>
    </xf>
    <xf numFmtId="0" fontId="12" fillId="0" borderId="97" xfId="11" applyFont="1" applyFill="1" applyBorder="1" applyAlignment="1">
      <alignment horizontal="center" vertical="center"/>
    </xf>
    <xf numFmtId="0" fontId="21" fillId="0" borderId="14" xfId="11" applyFont="1" applyFill="1" applyBorder="1" applyAlignment="1">
      <alignment horizontal="left" vertical="center" wrapText="1" indent="3"/>
    </xf>
    <xf numFmtId="0" fontId="12" fillId="0" borderId="14" xfId="11" applyFont="1" applyFill="1" applyBorder="1" applyAlignment="1">
      <alignment horizontal="left" vertical="center" wrapText="1" indent="2"/>
    </xf>
    <xf numFmtId="0" fontId="12" fillId="0" borderId="56" xfId="11" applyFont="1" applyFill="1" applyBorder="1" applyAlignment="1" applyProtection="1">
      <alignment horizontal="left" vertical="center" wrapText="1" indent="2"/>
      <protection locked="0"/>
    </xf>
    <xf numFmtId="0" fontId="21" fillId="0" borderId="56" xfId="11" applyFont="1" applyFill="1" applyBorder="1" applyAlignment="1" applyProtection="1">
      <alignment horizontal="left" vertical="center" wrapText="1" indent="3"/>
      <protection locked="0"/>
    </xf>
    <xf numFmtId="0" fontId="12" fillId="0" borderId="8" xfId="11" applyFont="1" applyFill="1" applyBorder="1" applyAlignment="1" applyProtection="1">
      <alignment horizontal="left" vertical="center" wrapText="1" indent="2"/>
      <protection locked="0"/>
    </xf>
    <xf numFmtId="0" fontId="10" fillId="0" borderId="11" xfId="11" applyFont="1" applyFill="1" applyBorder="1" applyAlignment="1">
      <alignment horizontal="center" vertical="center"/>
    </xf>
    <xf numFmtId="0" fontId="10" fillId="0" borderId="58" xfId="11" applyFont="1" applyFill="1" applyBorder="1" applyAlignment="1" applyProtection="1">
      <alignment horizontal="left" vertical="center" wrapText="1"/>
      <protection locked="0"/>
    </xf>
    <xf numFmtId="0" fontId="11" fillId="0" borderId="11" xfId="11" applyFont="1" applyFill="1" applyBorder="1" applyAlignment="1">
      <alignment horizontal="center" vertical="center" wrapText="1"/>
    </xf>
    <xf numFmtId="0" fontId="12" fillId="0" borderId="0" xfId="0" applyFont="1" applyFill="1"/>
    <xf numFmtId="3" fontId="12" fillId="0" borderId="42" xfId="11" applyNumberFormat="1" applyFont="1" applyFill="1" applyBorder="1" applyAlignment="1" applyProtection="1">
      <alignment vertical="center" wrapText="1"/>
      <protection locked="0"/>
    </xf>
    <xf numFmtId="165" fontId="11" fillId="0" borderId="0" xfId="11" applyNumberFormat="1" applyFont="1" applyFill="1" applyBorder="1" applyAlignment="1" applyProtection="1">
      <alignment horizontal="center" vertical="center" wrapText="1"/>
    </xf>
    <xf numFmtId="165" fontId="11" fillId="0" borderId="3" xfId="11" applyNumberFormat="1" applyFont="1" applyFill="1" applyBorder="1" applyAlignment="1" applyProtection="1">
      <alignment horizontal="center" vertical="center" wrapText="1"/>
    </xf>
    <xf numFmtId="165" fontId="11" fillId="0" borderId="87" xfId="11" applyNumberFormat="1" applyFont="1" applyFill="1" applyBorder="1" applyAlignment="1" applyProtection="1">
      <alignment horizontal="center" vertical="center" wrapText="1"/>
    </xf>
    <xf numFmtId="165" fontId="11" fillId="0" borderId="58" xfId="11" applyNumberFormat="1" applyFont="1" applyFill="1" applyBorder="1" applyAlignment="1">
      <alignment horizontal="center" vertical="center" wrapText="1"/>
    </xf>
    <xf numFmtId="3" fontId="11" fillId="0" borderId="41" xfId="11" applyNumberFormat="1" applyFont="1" applyFill="1" applyBorder="1" applyAlignment="1" applyProtection="1">
      <alignment vertical="center" wrapText="1"/>
      <protection locked="0"/>
    </xf>
    <xf numFmtId="3" fontId="12" fillId="0" borderId="8" xfId="11" applyNumberFormat="1" applyFont="1" applyFill="1" applyBorder="1" applyAlignment="1" applyProtection="1">
      <alignment vertical="center" wrapText="1"/>
      <protection locked="0"/>
    </xf>
    <xf numFmtId="3" fontId="12" fillId="0" borderId="6" xfId="11" applyNumberFormat="1" applyFont="1" applyFill="1" applyBorder="1" applyAlignment="1" applyProtection="1">
      <alignment vertical="center" wrapText="1"/>
      <protection locked="0"/>
    </xf>
    <xf numFmtId="3" fontId="10" fillId="0" borderId="87" xfId="11" applyNumberFormat="1" applyFont="1" applyFill="1" applyBorder="1" applyAlignment="1" applyProtection="1">
      <alignment vertical="center" wrapText="1"/>
      <protection locked="0"/>
    </xf>
    <xf numFmtId="3" fontId="10" fillId="0" borderId="43" xfId="11" applyNumberFormat="1" applyFont="1" applyFill="1" applyBorder="1" applyAlignment="1" applyProtection="1">
      <alignment vertical="center" wrapText="1"/>
      <protection locked="0"/>
    </xf>
    <xf numFmtId="3" fontId="11" fillId="0" borderId="87" xfId="11" applyNumberFormat="1" applyFont="1" applyFill="1" applyBorder="1" applyAlignment="1" applyProtection="1">
      <alignment vertical="center" wrapText="1"/>
    </xf>
    <xf numFmtId="3" fontId="11" fillId="0" borderId="43" xfId="11" applyNumberFormat="1" applyFont="1" applyFill="1" applyBorder="1" applyAlignment="1" applyProtection="1">
      <alignment vertical="center" wrapText="1"/>
    </xf>
    <xf numFmtId="165" fontId="12" fillId="0" borderId="41" xfId="11" applyNumberFormat="1" applyFont="1" applyFill="1" applyBorder="1" applyAlignment="1">
      <alignment vertical="center" wrapText="1"/>
    </xf>
    <xf numFmtId="165" fontId="9" fillId="0" borderId="0" xfId="11" applyNumberFormat="1" applyFont="1" applyFill="1" applyAlignment="1">
      <alignment vertical="center" wrapText="1"/>
    </xf>
    <xf numFmtId="165" fontId="11" fillId="0" borderId="13" xfId="11" applyNumberFormat="1" applyFont="1" applyFill="1" applyBorder="1" applyAlignment="1">
      <alignment horizontal="center" vertical="center" wrapText="1"/>
    </xf>
    <xf numFmtId="165" fontId="11" fillId="0" borderId="27" xfId="11" applyNumberFormat="1" applyFont="1" applyFill="1" applyBorder="1" applyAlignment="1" applyProtection="1">
      <alignment horizontal="center" vertical="center" wrapText="1"/>
    </xf>
    <xf numFmtId="165" fontId="11" fillId="0" borderId="46" xfId="11" applyNumberFormat="1" applyFont="1" applyFill="1" applyBorder="1" applyAlignment="1" applyProtection="1">
      <alignment horizontal="center" vertical="center" wrapText="1"/>
    </xf>
    <xf numFmtId="3" fontId="12" fillId="0" borderId="30" xfId="11" applyNumberFormat="1" applyFont="1" applyFill="1" applyBorder="1" applyAlignment="1" applyProtection="1">
      <alignment vertical="center" wrapText="1"/>
      <protection locked="0"/>
    </xf>
    <xf numFmtId="3" fontId="10" fillId="0" borderId="35" xfId="11" applyNumberFormat="1" applyFont="1" applyFill="1" applyBorder="1" applyAlignment="1" applyProtection="1">
      <alignment vertical="center" wrapText="1"/>
      <protection locked="0"/>
    </xf>
    <xf numFmtId="3" fontId="11" fillId="0" borderId="35" xfId="11" applyNumberFormat="1" applyFont="1" applyFill="1" applyBorder="1" applyAlignment="1" applyProtection="1">
      <alignment vertical="center" wrapText="1"/>
    </xf>
    <xf numFmtId="3" fontId="11" fillId="0" borderId="45" xfId="11" applyNumberFormat="1" applyFont="1" applyFill="1" applyBorder="1" applyAlignment="1" applyProtection="1">
      <alignment vertical="center" wrapText="1"/>
    </xf>
    <xf numFmtId="165" fontId="11" fillId="4" borderId="45" xfId="11" applyNumberFormat="1" applyFont="1" applyFill="1" applyBorder="1" applyAlignment="1" applyProtection="1">
      <alignment horizontal="center" vertical="center" wrapText="1"/>
    </xf>
    <xf numFmtId="165" fontId="11" fillId="0" borderId="54" xfId="11" applyNumberFormat="1" applyFont="1" applyFill="1" applyBorder="1" applyAlignment="1" applyProtection="1">
      <alignment horizontal="center" vertical="center" wrapText="1"/>
    </xf>
    <xf numFmtId="165" fontId="11" fillId="0" borderId="21" xfId="11" applyNumberFormat="1" applyFont="1" applyFill="1" applyBorder="1" applyAlignment="1" applyProtection="1">
      <alignment horizontal="center" vertical="center" wrapText="1"/>
    </xf>
    <xf numFmtId="165" fontId="11" fillId="0" borderId="15" xfId="11" applyNumberFormat="1" applyFont="1" applyFill="1" applyBorder="1" applyAlignment="1" applyProtection="1">
      <alignment horizontal="center" vertical="center" wrapText="1"/>
    </xf>
    <xf numFmtId="165" fontId="11" fillId="0" borderId="45" xfId="11" applyNumberFormat="1" applyFont="1" applyFill="1" applyBorder="1" applyAlignment="1">
      <alignment vertical="center" wrapText="1"/>
    </xf>
    <xf numFmtId="0" fontId="12" fillId="0" borderId="62" xfId="11" applyFont="1" applyBorder="1" applyAlignment="1">
      <alignment horizontal="center" vertical="center"/>
    </xf>
    <xf numFmtId="0" fontId="7" fillId="0" borderId="0" xfId="11" applyFont="1" applyAlignment="1">
      <alignment horizontal="center"/>
    </xf>
    <xf numFmtId="0" fontId="12" fillId="0" borderId="16" xfId="11" applyFont="1" applyBorder="1" applyAlignment="1" applyProtection="1">
      <alignment horizontal="left" vertical="center" indent="1"/>
      <protection locked="0"/>
    </xf>
    <xf numFmtId="0" fontId="12" fillId="0" borderId="56" xfId="11" applyFont="1" applyBorder="1" applyAlignment="1" applyProtection="1">
      <alignment horizontal="left" vertical="center" indent="1"/>
      <protection locked="0"/>
    </xf>
    <xf numFmtId="0" fontId="12" fillId="0" borderId="0" xfId="11" applyFont="1" applyBorder="1" applyAlignment="1">
      <alignment horizontal="center" wrapText="1"/>
    </xf>
    <xf numFmtId="0" fontId="11" fillId="0" borderId="11" xfId="11" applyFont="1" applyBorder="1" applyAlignment="1">
      <alignment horizontal="center" vertical="center" wrapText="1"/>
    </xf>
    <xf numFmtId="0" fontId="11" fillId="0" borderId="41" xfId="11" applyFont="1" applyBorder="1" applyAlignment="1">
      <alignment vertical="center"/>
    </xf>
    <xf numFmtId="0" fontId="11" fillId="0" borderId="97" xfId="11" applyFont="1" applyBorder="1" applyAlignment="1">
      <alignment horizontal="center" vertical="center" wrapText="1"/>
    </xf>
    <xf numFmtId="0" fontId="11" fillId="0" borderId="58" xfId="11" applyFont="1" applyBorder="1" applyAlignment="1">
      <alignment horizontal="center" vertical="center"/>
    </xf>
    <xf numFmtId="0" fontId="11" fillId="0" borderId="15" xfId="11" applyFont="1" applyBorder="1" applyAlignment="1">
      <alignment vertical="center"/>
    </xf>
    <xf numFmtId="0" fontId="11" fillId="0" borderId="3" xfId="11" applyFont="1" applyBorder="1" applyAlignment="1">
      <alignment horizontal="center" vertical="center"/>
    </xf>
    <xf numFmtId="0" fontId="12" fillId="0" borderId="63" xfId="11" applyFont="1" applyBorder="1" applyAlignment="1">
      <alignment horizontal="center" vertical="center"/>
    </xf>
    <xf numFmtId="0" fontId="12" fillId="0" borderId="60" xfId="11" applyFont="1" applyBorder="1" applyAlignment="1">
      <alignment horizontal="center" vertical="center"/>
    </xf>
    <xf numFmtId="0" fontId="11" fillId="0" borderId="3" xfId="11" applyFont="1" applyBorder="1" applyAlignment="1">
      <alignment vertical="center"/>
    </xf>
    <xf numFmtId="0" fontId="11" fillId="0" borderId="13" xfId="11" applyFont="1" applyBorder="1" applyAlignment="1">
      <alignment horizontal="center" vertical="center"/>
    </xf>
    <xf numFmtId="0" fontId="11" fillId="0" borderId="1" xfId="11" applyFont="1" applyBorder="1" applyAlignment="1">
      <alignment vertical="center"/>
    </xf>
    <xf numFmtId="0" fontId="12" fillId="0" borderId="20" xfId="11" applyFont="1" applyBorder="1" applyAlignment="1" applyProtection="1">
      <alignment horizontal="left" vertical="center" indent="1"/>
      <protection locked="0"/>
    </xf>
    <xf numFmtId="0" fontId="12" fillId="0" borderId="4" xfId="11" applyFont="1" applyBorder="1" applyAlignment="1" applyProtection="1">
      <alignment horizontal="left" vertical="center" indent="1"/>
      <protection locked="0"/>
    </xf>
    <xf numFmtId="0" fontId="12" fillId="0" borderId="20" xfId="11" applyFont="1" applyFill="1" applyBorder="1" applyAlignment="1" applyProtection="1">
      <alignment horizontal="left" vertical="center" indent="1"/>
      <protection locked="0"/>
    </xf>
    <xf numFmtId="0" fontId="11" fillId="0" borderId="11" xfId="11" applyFont="1" applyBorder="1" applyAlignment="1">
      <alignment horizontal="center"/>
    </xf>
    <xf numFmtId="0" fontId="11" fillId="0" borderId="61" xfId="11" applyFont="1" applyBorder="1" applyAlignment="1">
      <alignment horizontal="center"/>
    </xf>
    <xf numFmtId="0" fontId="11" fillId="0" borderId="11" xfId="11" applyFont="1" applyBorder="1" applyAlignment="1">
      <alignment horizontal="center" vertical="center"/>
    </xf>
    <xf numFmtId="0" fontId="11" fillId="0" borderId="10" xfId="11" applyFont="1" applyBorder="1" applyAlignment="1">
      <alignment vertical="center"/>
    </xf>
    <xf numFmtId="0" fontId="11" fillId="0" borderId="38" xfId="11" applyFont="1" applyBorder="1" applyAlignment="1">
      <alignment vertical="center"/>
    </xf>
    <xf numFmtId="0" fontId="12" fillId="0" borderId="7" xfId="11" applyFont="1" applyBorder="1" applyAlignment="1" applyProtection="1">
      <alignment horizontal="left" vertical="center" indent="1"/>
      <protection locked="0"/>
    </xf>
    <xf numFmtId="0" fontId="11" fillId="0" borderId="60" xfId="11" applyFont="1" applyBorder="1" applyAlignment="1">
      <alignment horizontal="center"/>
    </xf>
    <xf numFmtId="0" fontId="11" fillId="0" borderId="16" xfId="11" applyFont="1" applyBorder="1" applyAlignment="1">
      <alignment vertical="center"/>
    </xf>
    <xf numFmtId="0" fontId="11" fillId="0" borderId="7" xfId="11" applyFont="1" applyBorder="1" applyAlignment="1">
      <alignment vertical="center"/>
    </xf>
    <xf numFmtId="3" fontId="11" fillId="0" borderId="30" xfId="11" applyNumberFormat="1" applyFont="1" applyFill="1" applyBorder="1" applyAlignment="1">
      <alignment vertical="center"/>
    </xf>
    <xf numFmtId="0" fontId="12" fillId="0" borderId="61" xfId="11" applyFont="1" applyBorder="1" applyAlignment="1">
      <alignment horizontal="center"/>
    </xf>
    <xf numFmtId="3" fontId="9" fillId="0" borderId="0" xfId="11" applyNumberFormat="1" applyFont="1" applyFill="1" applyAlignment="1">
      <alignment vertical="center" wrapText="1"/>
    </xf>
    <xf numFmtId="3" fontId="7" fillId="0" borderId="0" xfId="11" applyNumberFormat="1" applyFont="1" applyFill="1" applyAlignment="1">
      <alignment horizontal="right" vertical="center" wrapText="1"/>
    </xf>
    <xf numFmtId="49" fontId="12" fillId="0" borderId="0" xfId="11" applyNumberFormat="1" applyFont="1" applyFill="1" applyAlignment="1">
      <alignment horizontal="left" vertical="center" wrapText="1"/>
    </xf>
    <xf numFmtId="3" fontId="11" fillId="0" borderId="0" xfId="11" applyNumberFormat="1" applyFont="1" applyFill="1" applyAlignment="1">
      <alignment vertical="center" wrapText="1"/>
    </xf>
    <xf numFmtId="3" fontId="11" fillId="0" borderId="0" xfId="11" applyNumberFormat="1" applyFont="1" applyFill="1" applyAlignment="1">
      <alignment horizontal="right" vertical="center" wrapText="1"/>
    </xf>
    <xf numFmtId="3" fontId="12" fillId="0" borderId="0" xfId="11" applyNumberFormat="1" applyFont="1" applyFill="1" applyBorder="1" applyAlignment="1">
      <alignment vertical="center" wrapText="1"/>
    </xf>
    <xf numFmtId="3" fontId="11" fillId="0" borderId="0" xfId="11" applyNumberFormat="1" applyFont="1" applyFill="1" applyBorder="1" applyAlignment="1">
      <alignment vertical="center" wrapText="1"/>
    </xf>
    <xf numFmtId="0" fontId="11" fillId="0" borderId="0" xfId="11" applyFont="1" applyFill="1" applyAlignment="1">
      <alignment horizontal="center" vertical="center" wrapText="1"/>
    </xf>
    <xf numFmtId="3" fontId="11" fillId="0" borderId="0" xfId="11" applyNumberFormat="1" applyFont="1" applyFill="1" applyBorder="1" applyAlignment="1">
      <alignment horizontal="center" vertical="center" wrapText="1"/>
    </xf>
    <xf numFmtId="0" fontId="11" fillId="0" borderId="0" xfId="11" applyFont="1" applyFill="1" applyAlignment="1">
      <alignment horizontal="center" wrapText="1"/>
    </xf>
    <xf numFmtId="3" fontId="12" fillId="0" borderId="31" xfId="11" applyNumberFormat="1" applyFont="1" applyFill="1" applyBorder="1" applyAlignment="1">
      <alignment vertical="center" wrapText="1"/>
    </xf>
    <xf numFmtId="3" fontId="12" fillId="0" borderId="97" xfId="11" applyNumberFormat="1" applyFont="1" applyFill="1" applyBorder="1" applyAlignment="1">
      <alignment vertical="center" wrapText="1"/>
    </xf>
    <xf numFmtId="0" fontId="12" fillId="0" borderId="0" xfId="11" applyFont="1" applyFill="1" applyAlignment="1">
      <alignment vertical="center" wrapText="1"/>
    </xf>
    <xf numFmtId="0" fontId="11" fillId="0" borderId="9" xfId="11" applyFont="1" applyFill="1" applyBorder="1" applyAlignment="1">
      <alignment horizontal="justify"/>
    </xf>
    <xf numFmtId="3" fontId="11" fillId="0" borderId="11" xfId="11" applyNumberFormat="1" applyFont="1" applyFill="1" applyBorder="1" applyAlignment="1">
      <alignment vertical="center" wrapText="1"/>
    </xf>
    <xf numFmtId="49" fontId="11" fillId="2" borderId="11" xfId="11" applyNumberFormat="1" applyFont="1" applyFill="1" applyBorder="1" applyAlignment="1">
      <alignment horizontal="center" vertical="center" wrapText="1"/>
    </xf>
    <xf numFmtId="3" fontId="11" fillId="2" borderId="11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10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85" xfId="11" applyFont="1" applyFill="1" applyBorder="1" applyAlignment="1">
      <alignment horizontal="justify"/>
    </xf>
    <xf numFmtId="3" fontId="11" fillId="0" borderId="86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1" xfId="11" applyNumberFormat="1" applyFont="1" applyFill="1" applyBorder="1" applyAlignment="1" applyProtection="1">
      <alignment horizontal="right" vertical="center" wrapText="1"/>
      <protection locked="0"/>
    </xf>
    <xf numFmtId="49" fontId="11" fillId="0" borderId="98" xfId="11" applyNumberFormat="1" applyFont="1" applyFill="1" applyBorder="1" applyAlignment="1">
      <alignment horizontal="center" vertical="center" wrapText="1"/>
    </xf>
    <xf numFmtId="0" fontId="11" fillId="0" borderId="29" xfId="11" applyFont="1" applyFill="1" applyBorder="1" applyAlignment="1">
      <alignment horizontal="justify"/>
    </xf>
    <xf numFmtId="3" fontId="11" fillId="0" borderId="98" xfId="11" applyNumberFormat="1" applyFont="1" applyFill="1" applyBorder="1" applyAlignment="1">
      <alignment vertical="center" wrapText="1"/>
    </xf>
    <xf numFmtId="3" fontId="11" fillId="0" borderId="28" xfId="11" applyNumberFormat="1" applyFont="1" applyFill="1" applyBorder="1" applyAlignment="1">
      <alignment vertical="center" wrapText="1"/>
    </xf>
    <xf numFmtId="0" fontId="11" fillId="2" borderId="9" xfId="11" applyFont="1" applyFill="1" applyBorder="1" applyAlignment="1">
      <alignment horizontal="justify"/>
    </xf>
    <xf numFmtId="3" fontId="11" fillId="2" borderId="11" xfId="11" applyNumberFormat="1" applyFont="1" applyFill="1" applyBorder="1" applyAlignment="1">
      <alignment vertical="center" wrapText="1"/>
    </xf>
    <xf numFmtId="3" fontId="11" fillId="2" borderId="10" xfId="11" applyNumberFormat="1" applyFont="1" applyFill="1" applyBorder="1" applyAlignment="1">
      <alignment vertical="center" wrapText="1"/>
    </xf>
    <xf numFmtId="0" fontId="12" fillId="0" borderId="32" xfId="11" applyFont="1" applyFill="1" applyBorder="1" applyAlignment="1">
      <alignment horizontal="justify"/>
    </xf>
    <xf numFmtId="3" fontId="11" fillId="2" borderId="11" xfId="11" applyNumberFormat="1" applyFont="1" applyFill="1" applyBorder="1" applyAlignment="1">
      <alignment horizontal="right" vertical="center" wrapText="1"/>
    </xf>
    <xf numFmtId="3" fontId="11" fillId="2" borderId="10" xfId="11" applyNumberFormat="1" applyFont="1" applyFill="1" applyBorder="1" applyAlignment="1">
      <alignment horizontal="right" vertical="center" wrapText="1"/>
    </xf>
    <xf numFmtId="3" fontId="10" fillId="0" borderId="0" xfId="11" applyNumberFormat="1" applyFont="1" applyFill="1" applyBorder="1" applyAlignment="1">
      <alignment horizontal="right" wrapText="1"/>
    </xf>
    <xf numFmtId="3" fontId="11" fillId="0" borderId="1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98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28" xfId="11" applyNumberFormat="1" applyFont="1" applyFill="1" applyBorder="1" applyAlignment="1" applyProtection="1">
      <alignment horizontal="right" vertical="center" wrapText="1"/>
      <protection locked="0"/>
    </xf>
    <xf numFmtId="49" fontId="11" fillId="0" borderId="97" xfId="11" applyNumberFormat="1" applyFont="1" applyFill="1" applyBorder="1" applyAlignment="1">
      <alignment horizontal="center" vertical="center" wrapText="1"/>
    </xf>
    <xf numFmtId="49" fontId="7" fillId="0" borderId="0" xfId="11" applyNumberFormat="1" applyFont="1" applyFill="1" applyAlignment="1">
      <alignment horizontal="left" vertical="center" wrapText="1"/>
    </xf>
    <xf numFmtId="3" fontId="9" fillId="0" borderId="0" xfId="11" applyNumberFormat="1" applyFont="1" applyFill="1" applyAlignment="1">
      <alignment horizontal="right" vertical="center" wrapText="1"/>
    </xf>
    <xf numFmtId="49" fontId="12" fillId="0" borderId="96" xfId="11" applyNumberFormat="1" applyFont="1" applyFill="1" applyBorder="1" applyAlignment="1">
      <alignment horizontal="left" vertical="center" wrapText="1"/>
    </xf>
    <xf numFmtId="49" fontId="12" fillId="0" borderId="100" xfId="11" applyNumberFormat="1" applyFont="1" applyFill="1" applyBorder="1" applyAlignment="1">
      <alignment horizontal="left" vertical="center" wrapText="1"/>
    </xf>
    <xf numFmtId="49" fontId="11" fillId="0" borderId="12" xfId="11" applyNumberFormat="1" applyFont="1" applyFill="1" applyBorder="1" applyAlignment="1">
      <alignment horizontal="left" vertical="center" wrapText="1"/>
    </xf>
    <xf numFmtId="168" fontId="11" fillId="0" borderId="47" xfId="11" applyNumberFormat="1" applyFont="1" applyFill="1" applyBorder="1" applyAlignment="1">
      <alignment horizontal="center" vertical="center" wrapText="1"/>
    </xf>
    <xf numFmtId="168" fontId="11" fillId="2" borderId="47" xfId="11" applyNumberFormat="1" applyFont="1" applyFill="1" applyBorder="1" applyAlignment="1">
      <alignment horizontal="center" vertical="center" wrapText="1"/>
    </xf>
    <xf numFmtId="168" fontId="7" fillId="0" borderId="0" xfId="11" applyNumberFormat="1" applyFont="1" applyFill="1" applyAlignment="1">
      <alignment horizontal="center" vertical="center" wrapText="1"/>
    </xf>
    <xf numFmtId="168" fontId="12" fillId="0" borderId="0" xfId="11" applyNumberFormat="1" applyFont="1" applyFill="1" applyAlignment="1">
      <alignment horizontal="center" vertical="center" wrapText="1"/>
    </xf>
    <xf numFmtId="168" fontId="12" fillId="0" borderId="49" xfId="11" applyNumberFormat="1" applyFont="1" applyFill="1" applyBorder="1" applyAlignment="1">
      <alignment horizontal="center" vertical="center" wrapText="1"/>
    </xf>
    <xf numFmtId="168" fontId="12" fillId="0" borderId="55" xfId="11" applyNumberFormat="1" applyFont="1" applyFill="1" applyBorder="1" applyAlignment="1">
      <alignment horizontal="center" vertical="center" wrapText="1"/>
    </xf>
    <xf numFmtId="168" fontId="12" fillId="0" borderId="57" xfId="11" applyNumberFormat="1" applyFont="1" applyFill="1" applyBorder="1" applyAlignment="1">
      <alignment horizontal="center" vertical="center" wrapText="1"/>
    </xf>
    <xf numFmtId="3" fontId="11" fillId="0" borderId="0" xfId="11" applyNumberFormat="1" applyFont="1"/>
    <xf numFmtId="3" fontId="12" fillId="0" borderId="0" xfId="11" applyNumberFormat="1" applyFont="1" applyAlignment="1">
      <alignment horizontal="center"/>
    </xf>
    <xf numFmtId="3" fontId="11" fillId="0" borderId="34" xfId="11" applyNumberFormat="1" applyFont="1" applyBorder="1" applyAlignment="1">
      <alignment horizontal="center" vertical="center" wrapText="1"/>
    </xf>
    <xf numFmtId="3" fontId="11" fillId="0" borderId="0" xfId="11" applyNumberFormat="1" applyFont="1" applyAlignment="1">
      <alignment vertical="center"/>
    </xf>
    <xf numFmtId="3" fontId="12" fillId="0" borderId="94" xfId="11" applyNumberFormat="1" applyFont="1" applyBorder="1" applyAlignment="1">
      <alignment horizontal="left" indent="1"/>
    </xf>
    <xf numFmtId="3" fontId="12" fillId="0" borderId="6" xfId="11" applyNumberFormat="1" applyFont="1" applyBorder="1"/>
    <xf numFmtId="3" fontId="11" fillId="0" borderId="6" xfId="11" applyNumberFormat="1" applyFont="1" applyBorder="1"/>
    <xf numFmtId="3" fontId="11" fillId="0" borderId="30" xfId="11" applyNumberFormat="1" applyFont="1" applyBorder="1"/>
    <xf numFmtId="3" fontId="12" fillId="0" borderId="93" xfId="11" applyNumberFormat="1" applyFont="1" applyBorder="1" applyAlignment="1">
      <alignment horizontal="left" indent="1"/>
    </xf>
    <xf numFmtId="3" fontId="12" fillId="0" borderId="20" xfId="11" applyNumberFormat="1" applyFont="1" applyBorder="1"/>
    <xf numFmtId="3" fontId="11" fillId="0" borderId="20" xfId="11" applyNumberFormat="1" applyFont="1" applyBorder="1"/>
    <xf numFmtId="3" fontId="11" fillId="0" borderId="22" xfId="11" applyNumberFormat="1" applyFont="1" applyBorder="1"/>
    <xf numFmtId="3" fontId="12" fillId="0" borderId="88" xfId="11" applyNumberFormat="1" applyFont="1" applyBorder="1" applyAlignment="1">
      <alignment horizontal="left" indent="1"/>
    </xf>
    <xf numFmtId="3" fontId="12" fillId="0" borderId="4" xfId="11" applyNumberFormat="1" applyFont="1" applyBorder="1"/>
    <xf numFmtId="3" fontId="11" fillId="0" borderId="11" xfId="11" applyNumberFormat="1" applyFont="1" applyBorder="1" applyAlignment="1">
      <alignment horizontal="center"/>
    </xf>
    <xf numFmtId="3" fontId="11" fillId="0" borderId="12" xfId="11" applyNumberFormat="1" applyFont="1" applyBorder="1"/>
    <xf numFmtId="3" fontId="11" fillId="0" borderId="13" xfId="11" applyNumberFormat="1" applyFont="1" applyBorder="1"/>
    <xf numFmtId="3" fontId="11" fillId="0" borderId="10" xfId="11" applyNumberFormat="1" applyFont="1" applyBorder="1"/>
    <xf numFmtId="3" fontId="11" fillId="0" borderId="9" xfId="11" applyNumberFormat="1" applyFont="1" applyBorder="1"/>
    <xf numFmtId="3" fontId="11" fillId="0" borderId="34" xfId="11" applyNumberFormat="1" applyFont="1" applyBorder="1"/>
    <xf numFmtId="3" fontId="11" fillId="0" borderId="58" xfId="11" applyNumberFormat="1" applyFont="1" applyBorder="1"/>
    <xf numFmtId="3" fontId="12" fillId="0" borderId="96" xfId="11" applyNumberFormat="1" applyFont="1" applyBorder="1" applyAlignment="1">
      <alignment horizontal="left" indent="1"/>
    </xf>
    <xf numFmtId="3" fontId="12" fillId="0" borderId="1" xfId="11" applyNumberFormat="1" applyFont="1" applyBorder="1"/>
    <xf numFmtId="3" fontId="11" fillId="2" borderId="11" xfId="11" applyNumberFormat="1" applyFont="1" applyFill="1" applyBorder="1" applyAlignment="1">
      <alignment horizontal="center"/>
    </xf>
    <xf numFmtId="3" fontId="11" fillId="2" borderId="12" xfId="11" applyNumberFormat="1" applyFont="1" applyFill="1" applyBorder="1"/>
    <xf numFmtId="3" fontId="11" fillId="2" borderId="13" xfId="11" applyNumberFormat="1" applyFont="1" applyFill="1" applyBorder="1"/>
    <xf numFmtId="3" fontId="11" fillId="2" borderId="10" xfId="11" applyNumberFormat="1" applyFont="1" applyFill="1" applyBorder="1"/>
    <xf numFmtId="3" fontId="11" fillId="2" borderId="58" xfId="11" applyNumberFormat="1" applyFont="1" applyFill="1" applyBorder="1"/>
    <xf numFmtId="3" fontId="11" fillId="2" borderId="34" xfId="11" applyNumberFormat="1" applyFont="1" applyFill="1" applyBorder="1"/>
    <xf numFmtId="3" fontId="11" fillId="0" borderId="1" xfId="11" applyNumberFormat="1" applyFont="1" applyFill="1" applyBorder="1"/>
    <xf numFmtId="3" fontId="11" fillId="0" borderId="31" xfId="11" applyNumberFormat="1" applyFont="1" applyFill="1" applyBorder="1"/>
    <xf numFmtId="3" fontId="11" fillId="0" borderId="3" xfId="11" applyNumberFormat="1" applyFont="1" applyFill="1" applyBorder="1"/>
    <xf numFmtId="3" fontId="11" fillId="0" borderId="46" xfId="11" applyNumberFormat="1" applyFont="1" applyFill="1" applyBorder="1"/>
    <xf numFmtId="0" fontId="12" fillId="0" borderId="18" xfId="11" applyFont="1" applyFill="1" applyBorder="1" applyAlignment="1">
      <alignment horizontal="left" indent="1"/>
    </xf>
    <xf numFmtId="3" fontId="11" fillId="0" borderId="11" xfId="11" applyNumberFormat="1" applyFont="1" applyFill="1" applyBorder="1" applyAlignment="1">
      <alignment horizontal="center"/>
    </xf>
    <xf numFmtId="3" fontId="11" fillId="0" borderId="12" xfId="11" applyNumberFormat="1" applyFont="1" applyFill="1" applyBorder="1"/>
    <xf numFmtId="3" fontId="11" fillId="0" borderId="13" xfId="11" applyNumberFormat="1" applyFont="1" applyFill="1" applyBorder="1"/>
    <xf numFmtId="3" fontId="11" fillId="0" borderId="10" xfId="11" applyNumberFormat="1" applyFont="1" applyFill="1" applyBorder="1"/>
    <xf numFmtId="3" fontId="11" fillId="0" borderId="58" xfId="11" applyNumberFormat="1" applyFont="1" applyFill="1" applyBorder="1"/>
    <xf numFmtId="3" fontId="11" fillId="0" borderId="34" xfId="11" applyNumberFormat="1" applyFont="1" applyFill="1" applyBorder="1"/>
    <xf numFmtId="0" fontId="11" fillId="0" borderId="96" xfId="11" applyFont="1" applyFill="1" applyBorder="1" applyAlignment="1">
      <alignment horizontal="justify"/>
    </xf>
    <xf numFmtId="3" fontId="11" fillId="0" borderId="27" xfId="11" applyNumberFormat="1" applyFont="1" applyFill="1" applyBorder="1"/>
    <xf numFmtId="3" fontId="11" fillId="2" borderId="27" xfId="11" applyNumberFormat="1" applyFont="1" applyFill="1" applyBorder="1"/>
    <xf numFmtId="3" fontId="11" fillId="2" borderId="35" xfId="11" applyNumberFormat="1" applyFont="1" applyFill="1" applyBorder="1"/>
    <xf numFmtId="3" fontId="11" fillId="2" borderId="88" xfId="11" applyNumberFormat="1" applyFont="1" applyFill="1" applyBorder="1" applyAlignment="1">
      <alignment horizontal="left"/>
    </xf>
    <xf numFmtId="3" fontId="11" fillId="2" borderId="4" xfId="11" applyNumberFormat="1" applyFont="1" applyFill="1" applyBorder="1"/>
    <xf numFmtId="3" fontId="11" fillId="2" borderId="24" xfId="11" applyNumberFormat="1" applyFont="1" applyFill="1" applyBorder="1"/>
    <xf numFmtId="3" fontId="11" fillId="0" borderId="30" xfId="1" applyNumberFormat="1" applyFont="1" applyBorder="1"/>
    <xf numFmtId="3" fontId="11" fillId="0" borderId="22" xfId="1" applyNumberFormat="1" applyFont="1" applyBorder="1"/>
    <xf numFmtId="3" fontId="11" fillId="0" borderId="24" xfId="1" applyNumberFormat="1" applyFont="1" applyBorder="1"/>
    <xf numFmtId="3" fontId="11" fillId="0" borderId="46" xfId="1" applyNumberFormat="1" applyFont="1" applyBorder="1"/>
    <xf numFmtId="3" fontId="11" fillId="2" borderId="24" xfId="1" applyNumberFormat="1" applyFont="1" applyFill="1" applyBorder="1"/>
    <xf numFmtId="3" fontId="11" fillId="2" borderId="63" xfId="11" applyNumberFormat="1" applyFont="1" applyFill="1" applyBorder="1" applyAlignment="1">
      <alignment horizontal="center"/>
    </xf>
    <xf numFmtId="0" fontId="7" fillId="0" borderId="0" xfId="11" applyFont="1" applyFill="1" applyAlignment="1">
      <alignment horizontal="center" vertical="center"/>
    </xf>
    <xf numFmtId="0" fontId="7" fillId="0" borderId="0" xfId="11" applyFont="1" applyFill="1"/>
    <xf numFmtId="0" fontId="7" fillId="0" borderId="0" xfId="0" applyFont="1" applyFill="1"/>
    <xf numFmtId="0" fontId="12" fillId="0" borderId="0" xfId="11" applyFont="1" applyFill="1" applyAlignment="1">
      <alignment horizontal="center" vertical="center"/>
    </xf>
    <xf numFmtId="0" fontId="21" fillId="0" borderId="0" xfId="0" applyFont="1" applyFill="1"/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3" fontId="12" fillId="0" borderId="0" xfId="0" applyNumberFormat="1" applyFont="1"/>
    <xf numFmtId="3" fontId="12" fillId="0" borderId="0" xfId="0" applyNumberFormat="1" applyFont="1" applyFill="1"/>
    <xf numFmtId="3" fontId="4" fillId="0" borderId="0" xfId="11" applyNumberFormat="1" applyFont="1" applyFill="1" applyProtection="1">
      <protection locked="0"/>
    </xf>
    <xf numFmtId="3" fontId="4" fillId="0" borderId="0" xfId="11" applyNumberFormat="1" applyFont="1" applyFill="1"/>
    <xf numFmtId="3" fontId="6" fillId="0" borderId="0" xfId="11" applyNumberFormat="1" applyFill="1"/>
    <xf numFmtId="3" fontId="3" fillId="0" borderId="0" xfId="11" applyNumberFormat="1" applyFont="1" applyFill="1" applyProtection="1"/>
    <xf numFmtId="3" fontId="4" fillId="0" borderId="0" xfId="11" applyNumberFormat="1" applyFont="1" applyFill="1" applyProtection="1"/>
    <xf numFmtId="3" fontId="6" fillId="0" borderId="0" xfId="11" applyNumberFormat="1" applyFill="1" applyProtection="1">
      <protection locked="0"/>
    </xf>
    <xf numFmtId="3" fontId="27" fillId="0" borderId="0" xfId="11" applyNumberFormat="1" applyFont="1" applyFill="1"/>
    <xf numFmtId="3" fontId="28" fillId="0" borderId="0" xfId="11" applyNumberFormat="1" applyFont="1" applyFill="1"/>
    <xf numFmtId="3" fontId="29" fillId="0" borderId="11" xfId="11" applyNumberFormat="1" applyFont="1" applyFill="1" applyBorder="1" applyAlignment="1">
      <alignment horizontal="center" vertical="center" wrapText="1"/>
    </xf>
    <xf numFmtId="3" fontId="29" fillId="0" borderId="10" xfId="11" applyNumberFormat="1" applyFont="1" applyFill="1" applyBorder="1" applyAlignment="1">
      <alignment horizontal="center" vertical="center" wrapText="1"/>
    </xf>
    <xf numFmtId="3" fontId="29" fillId="0" borderId="9" xfId="11" applyNumberFormat="1" applyFont="1" applyFill="1" applyBorder="1" applyAlignment="1">
      <alignment horizontal="center" vertical="center" wrapText="1"/>
    </xf>
    <xf numFmtId="3" fontId="30" fillId="0" borderId="0" xfId="11" applyNumberFormat="1" applyFont="1" applyFill="1" applyAlignment="1">
      <alignment horizontal="center" vertical="center" wrapText="1"/>
    </xf>
    <xf numFmtId="3" fontId="8" fillId="0" borderId="60" xfId="11" applyNumberFormat="1" applyFont="1" applyFill="1" applyBorder="1" applyAlignment="1">
      <alignment horizontal="center" vertical="center"/>
    </xf>
    <xf numFmtId="3" fontId="8" fillId="0" borderId="16" xfId="11" applyNumberFormat="1" applyFont="1" applyFill="1" applyBorder="1" applyAlignment="1">
      <alignment vertical="center" wrapText="1"/>
    </xf>
    <xf numFmtId="3" fontId="8" fillId="0" borderId="16" xfId="11" applyNumberFormat="1" applyFont="1" applyFill="1" applyBorder="1" applyAlignment="1" applyProtection="1">
      <alignment vertical="center"/>
      <protection locked="0"/>
    </xf>
    <xf numFmtId="3" fontId="31" fillId="0" borderId="17" xfId="11" applyNumberFormat="1" applyFont="1" applyFill="1" applyBorder="1" applyAlignment="1">
      <alignment vertical="center"/>
    </xf>
    <xf numFmtId="3" fontId="8" fillId="0" borderId="62" xfId="11" applyNumberFormat="1" applyFont="1" applyFill="1" applyBorder="1" applyAlignment="1">
      <alignment horizontal="center" vertical="center"/>
    </xf>
    <xf numFmtId="3" fontId="8" fillId="0" borderId="2" xfId="11" applyNumberFormat="1" applyFont="1" applyFill="1" applyBorder="1" applyAlignment="1">
      <alignment vertical="center" wrapText="1"/>
    </xf>
    <xf numFmtId="3" fontId="8" fillId="0" borderId="2" xfId="11" applyNumberFormat="1" applyFont="1" applyFill="1" applyBorder="1" applyAlignment="1" applyProtection="1">
      <alignment vertical="center"/>
      <protection locked="0"/>
    </xf>
    <xf numFmtId="3" fontId="31" fillId="0" borderId="18" xfId="11" applyNumberFormat="1" applyFont="1" applyFill="1" applyBorder="1" applyAlignment="1">
      <alignment vertical="center"/>
    </xf>
    <xf numFmtId="3" fontId="8" fillId="0" borderId="63" xfId="11" applyNumberFormat="1" applyFont="1" applyFill="1" applyBorder="1" applyAlignment="1">
      <alignment horizontal="center" vertical="center"/>
    </xf>
    <xf numFmtId="3" fontId="8" fillId="0" borderId="25" xfId="11" applyNumberFormat="1" applyFont="1" applyFill="1" applyBorder="1" applyAlignment="1">
      <alignment vertical="center" wrapText="1"/>
    </xf>
    <xf numFmtId="3" fontId="8" fillId="0" borderId="25" xfId="11" applyNumberFormat="1" applyFont="1" applyFill="1" applyBorder="1" applyAlignment="1" applyProtection="1">
      <alignment vertical="center"/>
      <protection locked="0"/>
    </xf>
    <xf numFmtId="3" fontId="31" fillId="0" borderId="26" xfId="11" applyNumberFormat="1" applyFont="1" applyFill="1" applyBorder="1" applyAlignment="1">
      <alignment vertical="center"/>
    </xf>
    <xf numFmtId="3" fontId="31" fillId="0" borderId="11" xfId="11" applyNumberFormat="1" applyFont="1" applyFill="1" applyBorder="1" applyAlignment="1">
      <alignment horizontal="center" vertical="center"/>
    </xf>
    <xf numFmtId="3" fontId="31" fillId="0" borderId="10" xfId="11" applyNumberFormat="1" applyFont="1" applyFill="1" applyBorder="1" applyAlignment="1">
      <alignment vertical="center"/>
    </xf>
    <xf numFmtId="3" fontId="31" fillId="0" borderId="9" xfId="11" applyNumberFormat="1" applyFont="1" applyFill="1" applyBorder="1" applyAlignment="1">
      <alignment vertical="center"/>
    </xf>
    <xf numFmtId="3" fontId="30" fillId="0" borderId="0" xfId="11" applyNumberFormat="1" applyFont="1" applyFill="1"/>
    <xf numFmtId="3" fontId="6" fillId="0" borderId="0" xfId="11" applyNumberFormat="1" applyFill="1" applyAlignment="1">
      <alignment horizontal="center"/>
    </xf>
    <xf numFmtId="3" fontId="6" fillId="0" borderId="101" xfId="11" applyNumberFormat="1" applyFill="1" applyBorder="1" applyAlignment="1"/>
    <xf numFmtId="3" fontId="32" fillId="0" borderId="101" xfId="11" applyNumberFormat="1" applyFont="1" applyFill="1" applyBorder="1" applyAlignment="1"/>
    <xf numFmtId="3" fontId="6" fillId="0" borderId="0" xfId="11" applyNumberFormat="1" applyFill="1" applyBorder="1"/>
    <xf numFmtId="3" fontId="32" fillId="0" borderId="0" xfId="11" applyNumberFormat="1" applyFont="1" applyFill="1" applyBorder="1" applyAlignment="1">
      <alignment horizontal="center"/>
    </xf>
    <xf numFmtId="0" fontId="33" fillId="0" borderId="0" xfId="11" applyFont="1"/>
    <xf numFmtId="3" fontId="19" fillId="0" borderId="0" xfId="31" applyNumberFormat="1" applyFont="1" applyFill="1" applyAlignment="1">
      <alignment horizontal="right" vertical="top"/>
    </xf>
    <xf numFmtId="0" fontId="16" fillId="0" borderId="0" xfId="11" applyNumberFormat="1" applyFont="1" applyAlignment="1">
      <alignment vertical="top"/>
    </xf>
    <xf numFmtId="3" fontId="16" fillId="0" borderId="0" xfId="11" applyNumberFormat="1" applyFont="1" applyAlignment="1">
      <alignment vertical="top"/>
    </xf>
    <xf numFmtId="3" fontId="18" fillId="0" borderId="0" xfId="11" applyNumberFormat="1" applyFont="1" applyFill="1" applyAlignment="1">
      <alignment horizontal="right" vertical="top"/>
    </xf>
    <xf numFmtId="3" fontId="16" fillId="0" borderId="0" xfId="11" applyNumberFormat="1" applyFont="1" applyAlignment="1">
      <alignment vertical="top" wrapText="1"/>
    </xf>
    <xf numFmtId="0" fontId="15" fillId="0" borderId="0" xfId="11" applyNumberFormat="1" applyFont="1" applyAlignment="1">
      <alignment vertical="top"/>
    </xf>
    <xf numFmtId="0" fontId="19" fillId="0" borderId="0" xfId="11" applyNumberFormat="1" applyFont="1" applyAlignment="1">
      <alignment vertical="top"/>
    </xf>
    <xf numFmtId="49" fontId="19" fillId="0" borderId="0" xfId="11" applyNumberFormat="1" applyFont="1" applyAlignment="1">
      <alignment horizontal="center" vertical="top"/>
    </xf>
    <xf numFmtId="49" fontId="15" fillId="0" borderId="0" xfId="11" applyNumberFormat="1" applyFont="1" applyAlignment="1">
      <alignment horizontal="center" vertical="top"/>
    </xf>
    <xf numFmtId="49" fontId="16" fillId="0" borderId="0" xfId="11" applyNumberFormat="1" applyFont="1" applyAlignment="1">
      <alignment horizontal="center" vertical="top" wrapText="1"/>
    </xf>
    <xf numFmtId="49" fontId="16" fillId="0" borderId="0" xfId="11" applyNumberFormat="1" applyFont="1" applyAlignment="1">
      <alignment horizontal="center" vertical="top"/>
    </xf>
    <xf numFmtId="3" fontId="7" fillId="0" borderId="0" xfId="11" applyNumberFormat="1" applyFont="1" applyAlignment="1">
      <alignment horizontal="center"/>
    </xf>
    <xf numFmtId="3" fontId="7" fillId="0" borderId="0" xfId="11" applyNumberFormat="1" applyFont="1"/>
    <xf numFmtId="3" fontId="9" fillId="0" borderId="0" xfId="11" applyNumberFormat="1" applyFont="1"/>
    <xf numFmtId="0" fontId="35" fillId="0" borderId="0" xfId="32" applyFont="1" applyAlignment="1"/>
    <xf numFmtId="0" fontId="33" fillId="0" borderId="0" xfId="32" applyFont="1"/>
    <xf numFmtId="0" fontId="33" fillId="0" borderId="0" xfId="32" applyFont="1" applyAlignment="1">
      <alignment wrapText="1"/>
    </xf>
    <xf numFmtId="0" fontId="33" fillId="0" borderId="0" xfId="32" applyFont="1" applyAlignment="1">
      <alignment horizontal="left" vertical="top" wrapText="1"/>
    </xf>
    <xf numFmtId="0" fontId="33" fillId="0" borderId="0" xfId="32" applyFont="1" applyAlignment="1"/>
    <xf numFmtId="0" fontId="33" fillId="0" borderId="0" xfId="32" applyFont="1" applyFill="1" applyAlignment="1">
      <alignment horizontal="left" vertical="top" wrapText="1"/>
    </xf>
    <xf numFmtId="0" fontId="33" fillId="0" borderId="0" xfId="30" applyFont="1" applyAlignment="1"/>
    <xf numFmtId="0" fontId="33" fillId="0" borderId="0" xfId="28" applyFont="1"/>
    <xf numFmtId="0" fontId="33" fillId="0" borderId="0" xfId="28" applyFont="1" applyAlignment="1">
      <alignment wrapText="1"/>
    </xf>
    <xf numFmtId="0" fontId="33" fillId="0" borderId="0" xfId="0" applyFont="1"/>
    <xf numFmtId="0" fontId="12" fillId="0" borderId="25" xfId="11" applyFont="1" applyBorder="1" applyAlignment="1">
      <alignment horizontal="center" wrapText="1"/>
    </xf>
    <xf numFmtId="0" fontId="12" fillId="0" borderId="26" xfId="11" applyFont="1" applyBorder="1" applyAlignment="1">
      <alignment horizontal="center"/>
    </xf>
    <xf numFmtId="0" fontId="12" fillId="0" borderId="80" xfId="11" applyFont="1" applyBorder="1" applyAlignment="1">
      <alignment wrapText="1"/>
    </xf>
    <xf numFmtId="3" fontId="12" fillId="0" borderId="80" xfId="11" applyNumberFormat="1" applyFont="1" applyBorder="1" applyAlignment="1">
      <alignment wrapText="1"/>
    </xf>
    <xf numFmtId="3" fontId="12" fillId="0" borderId="67" xfId="11" applyNumberFormat="1" applyFont="1" applyBorder="1" applyAlignment="1">
      <alignment wrapText="1"/>
    </xf>
    <xf numFmtId="0" fontId="12" fillId="0" borderId="81" xfId="11" applyFont="1" applyBorder="1" applyAlignment="1">
      <alignment wrapText="1"/>
    </xf>
    <xf numFmtId="0" fontId="11" fillId="0" borderId="65" xfId="11" applyFont="1" applyBorder="1" applyAlignment="1">
      <alignment wrapText="1"/>
    </xf>
    <xf numFmtId="3" fontId="11" fillId="0" borderId="65" xfId="11" applyNumberFormat="1" applyFont="1" applyBorder="1" applyAlignment="1">
      <alignment wrapText="1"/>
    </xf>
    <xf numFmtId="3" fontId="11" fillId="0" borderId="64" xfId="11" applyNumberFormat="1" applyFont="1" applyBorder="1" applyAlignment="1">
      <alignment wrapText="1"/>
    </xf>
    <xf numFmtId="3" fontId="12" fillId="0" borderId="81" xfId="11" applyNumberFormat="1" applyFont="1" applyBorder="1" applyAlignment="1">
      <alignment wrapText="1"/>
    </xf>
    <xf numFmtId="3" fontId="12" fillId="0" borderId="71" xfId="11" applyNumberFormat="1" applyFont="1" applyBorder="1" applyAlignment="1">
      <alignment wrapText="1"/>
    </xf>
    <xf numFmtId="0" fontId="12" fillId="0" borderId="82" xfId="11" applyFont="1" applyBorder="1" applyAlignment="1">
      <alignment wrapText="1"/>
    </xf>
    <xf numFmtId="3" fontId="12" fillId="0" borderId="75" xfId="11" applyNumberFormat="1" applyFont="1" applyBorder="1" applyAlignment="1">
      <alignment wrapText="1"/>
    </xf>
    <xf numFmtId="3" fontId="12" fillId="0" borderId="82" xfId="11" applyNumberFormat="1" applyFont="1" applyBorder="1" applyAlignment="1">
      <alignment wrapText="1"/>
    </xf>
    <xf numFmtId="0" fontId="11" fillId="0" borderId="83" xfId="11" applyFont="1" applyBorder="1" applyAlignment="1">
      <alignment wrapText="1"/>
    </xf>
    <xf numFmtId="3" fontId="11" fillId="0" borderId="83" xfId="11" applyNumberFormat="1" applyFont="1" applyBorder="1" applyAlignment="1">
      <alignment wrapText="1"/>
    </xf>
    <xf numFmtId="3" fontId="11" fillId="0" borderId="78" xfId="11" applyNumberFormat="1" applyFont="1" applyBorder="1" applyAlignment="1">
      <alignment wrapText="1"/>
    </xf>
    <xf numFmtId="0" fontId="11" fillId="0" borderId="0" xfId="11" applyFont="1" applyAlignment="1">
      <alignment horizontal="center" vertical="center" wrapText="1"/>
    </xf>
    <xf numFmtId="0" fontId="36" fillId="0" borderId="0" xfId="31" applyFont="1" applyFill="1"/>
    <xf numFmtId="0" fontId="11" fillId="0" borderId="0" xfId="31" applyFont="1" applyFill="1"/>
    <xf numFmtId="0" fontId="9" fillId="0" borderId="0" xfId="11" applyFont="1"/>
    <xf numFmtId="10" fontId="15" fillId="0" borderId="0" xfId="36" applyNumberFormat="1" applyFont="1"/>
    <xf numFmtId="0" fontId="37" fillId="0" borderId="97" xfId="11" applyFont="1" applyBorder="1" applyAlignment="1"/>
    <xf numFmtId="0" fontId="37" fillId="0" borderId="63" xfId="11" applyFont="1" applyBorder="1" applyAlignment="1"/>
    <xf numFmtId="3" fontId="37" fillId="0" borderId="26" xfId="11" applyNumberFormat="1" applyFont="1" applyBorder="1" applyAlignment="1"/>
    <xf numFmtId="0" fontId="38" fillId="0" borderId="11" xfId="11" applyFont="1" applyBorder="1" applyAlignment="1"/>
    <xf numFmtId="0" fontId="38" fillId="0" borderId="9" xfId="11" applyFont="1" applyBorder="1" applyAlignment="1"/>
    <xf numFmtId="0" fontId="37" fillId="0" borderId="60" xfId="11" applyFont="1" applyBorder="1" applyAlignment="1"/>
    <xf numFmtId="0" fontId="37" fillId="0" borderId="17" xfId="11" applyFont="1" applyBorder="1" applyAlignment="1"/>
    <xf numFmtId="0" fontId="37" fillId="0" borderId="62" xfId="11" applyFont="1" applyBorder="1" applyAlignment="1"/>
    <xf numFmtId="0" fontId="37" fillId="0" borderId="18" xfId="11" applyFont="1" applyBorder="1" applyAlignment="1"/>
    <xf numFmtId="0" fontId="37" fillId="0" borderId="26" xfId="11" applyFont="1" applyBorder="1" applyAlignment="1"/>
    <xf numFmtId="0" fontId="37" fillId="0" borderId="89" xfId="11" applyFont="1" applyBorder="1" applyAlignment="1"/>
    <xf numFmtId="0" fontId="37" fillId="0" borderId="36" xfId="11" applyFont="1" applyBorder="1" applyAlignment="1"/>
    <xf numFmtId="0" fontId="38" fillId="0" borderId="11" xfId="11" applyFont="1" applyFill="1" applyBorder="1" applyAlignment="1"/>
    <xf numFmtId="3" fontId="15" fillId="0" borderId="2" xfId="11" applyNumberFormat="1" applyFont="1" applyBorder="1" applyAlignment="1">
      <alignment vertical="top" wrapText="1"/>
    </xf>
    <xf numFmtId="0" fontId="39" fillId="0" borderId="0" xfId="11" applyNumberFormat="1" applyFont="1" applyAlignment="1">
      <alignment vertical="top"/>
    </xf>
    <xf numFmtId="3" fontId="15" fillId="2" borderId="2" xfId="1" applyNumberFormat="1" applyFont="1" applyFill="1" applyBorder="1" applyAlignment="1">
      <alignment horizontal="right" vertical="top" wrapText="1"/>
    </xf>
    <xf numFmtId="0" fontId="11" fillId="0" borderId="48" xfId="11" applyFont="1" applyFill="1" applyBorder="1" applyAlignment="1">
      <alignment horizontal="left"/>
    </xf>
    <xf numFmtId="164" fontId="11" fillId="0" borderId="48" xfId="11" applyNumberFormat="1" applyFont="1" applyFill="1" applyBorder="1" applyAlignment="1"/>
    <xf numFmtId="164" fontId="11" fillId="0" borderId="21" xfId="11" applyNumberFormat="1" applyFont="1" applyFill="1" applyBorder="1" applyAlignment="1"/>
    <xf numFmtId="164" fontId="12" fillId="0" borderId="0" xfId="0" applyNumberFormat="1" applyFont="1" applyFill="1"/>
    <xf numFmtId="166" fontId="12" fillId="0" borderId="0" xfId="0" applyNumberFormat="1" applyFont="1" applyFill="1"/>
    <xf numFmtId="0" fontId="11" fillId="0" borderId="49" xfId="11" applyFont="1" applyFill="1" applyBorder="1" applyAlignment="1">
      <alignment horizontal="left"/>
    </xf>
    <xf numFmtId="3" fontId="12" fillId="0" borderId="93" xfId="11" applyNumberFormat="1" applyFont="1" applyFill="1" applyBorder="1" applyAlignment="1" applyProtection="1">
      <alignment vertical="center" wrapText="1"/>
      <protection locked="0"/>
    </xf>
    <xf numFmtId="49" fontId="12" fillId="0" borderId="89" xfId="11" applyNumberFormat="1" applyFont="1" applyFill="1" applyBorder="1" applyAlignment="1">
      <alignment horizontal="center" vertical="center" wrapText="1"/>
    </xf>
    <xf numFmtId="3" fontId="12" fillId="0" borderId="37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37" xfId="11" applyNumberFormat="1" applyFont="1" applyFill="1" applyBorder="1" applyAlignment="1" applyProtection="1">
      <alignment vertical="center" wrapText="1"/>
      <protection locked="0"/>
    </xf>
    <xf numFmtId="3" fontId="12" fillId="0" borderId="36" xfId="11" applyNumberFormat="1" applyFont="1" applyFill="1" applyBorder="1" applyAlignment="1" applyProtection="1">
      <alignment vertical="center" wrapText="1"/>
      <protection locked="0"/>
    </xf>
    <xf numFmtId="3" fontId="17" fillId="0" borderId="20" xfId="0" applyNumberFormat="1" applyFont="1" applyFill="1" applyBorder="1"/>
    <xf numFmtId="3" fontId="17" fillId="0" borderId="2" xfId="0" applyNumberFormat="1" applyFont="1" applyFill="1" applyBorder="1"/>
    <xf numFmtId="3" fontId="17" fillId="0" borderId="18" xfId="0" applyNumberFormat="1" applyFont="1" applyFill="1" applyBorder="1"/>
    <xf numFmtId="0" fontId="41" fillId="0" borderId="0" xfId="0" applyFont="1" applyFill="1"/>
    <xf numFmtId="0" fontId="42" fillId="0" borderId="0" xfId="0" applyFont="1" applyFill="1"/>
    <xf numFmtId="0" fontId="37" fillId="0" borderId="89" xfId="11" applyFont="1" applyBorder="1" applyAlignment="1">
      <alignment horizontal="center"/>
    </xf>
    <xf numFmtId="0" fontId="37" fillId="0" borderId="36" xfId="11" applyFont="1" applyBorder="1" applyAlignment="1">
      <alignment horizontal="center"/>
    </xf>
    <xf numFmtId="9" fontId="37" fillId="0" borderId="89" xfId="11" applyNumberFormat="1" applyFont="1" applyBorder="1" applyAlignment="1">
      <alignment horizontal="center"/>
    </xf>
    <xf numFmtId="9" fontId="37" fillId="0" borderId="36" xfId="11" applyNumberFormat="1" applyFont="1" applyBorder="1" applyAlignment="1">
      <alignment horizontal="center"/>
    </xf>
    <xf numFmtId="0" fontId="37" fillId="0" borderId="32" xfId="11" applyFont="1" applyBorder="1" applyAlignment="1"/>
    <xf numFmtId="0" fontId="38" fillId="0" borderId="9" xfId="11" applyFont="1" applyFill="1" applyBorder="1" applyAlignment="1"/>
    <xf numFmtId="3" fontId="12" fillId="0" borderId="24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90" xfId="11" applyNumberFormat="1" applyFont="1" applyBorder="1" applyAlignment="1">
      <alignment horizontal="left" indent="1"/>
    </xf>
    <xf numFmtId="3" fontId="11" fillId="0" borderId="21" xfId="1" applyNumberFormat="1" applyFont="1" applyBorder="1"/>
    <xf numFmtId="3" fontId="11" fillId="0" borderId="40" xfId="11" applyNumberFormat="1" applyFont="1" applyBorder="1"/>
    <xf numFmtId="3" fontId="11" fillId="0" borderId="21" xfId="11" applyNumberFormat="1" applyFont="1" applyBorder="1"/>
    <xf numFmtId="3" fontId="16" fillId="0" borderId="0" xfId="0" applyNumberFormat="1" applyFont="1" applyFill="1" applyBorder="1"/>
    <xf numFmtId="165" fontId="11" fillId="0" borderId="47" xfId="11" applyNumberFormat="1" applyFont="1" applyFill="1" applyBorder="1" applyAlignment="1">
      <alignment horizontal="center" vertical="center" wrapText="1"/>
    </xf>
    <xf numFmtId="165" fontId="11" fillId="0" borderId="91" xfId="11" applyNumberFormat="1" applyFont="1" applyFill="1" applyBorder="1" applyAlignment="1" applyProtection="1">
      <alignment horizontal="center" vertical="center" wrapText="1"/>
    </xf>
    <xf numFmtId="165" fontId="11" fillId="0" borderId="57" xfId="11" applyNumberFormat="1" applyFont="1" applyFill="1" applyBorder="1" applyAlignment="1" applyProtection="1">
      <alignment vertical="center" wrapText="1"/>
    </xf>
    <xf numFmtId="165" fontId="12" fillId="0" borderId="49" xfId="11" applyNumberFormat="1" applyFont="1" applyFill="1" applyBorder="1" applyAlignment="1" applyProtection="1">
      <alignment vertical="center" wrapText="1"/>
      <protection locked="0"/>
    </xf>
    <xf numFmtId="165" fontId="11" fillId="0" borderId="47" xfId="11" applyNumberFormat="1" applyFont="1" applyFill="1" applyBorder="1" applyAlignment="1" applyProtection="1">
      <alignment vertical="center" wrapText="1"/>
      <protection locked="0"/>
    </xf>
    <xf numFmtId="165" fontId="11" fillId="0" borderId="55" xfId="11" applyNumberFormat="1" applyFont="1" applyFill="1" applyBorder="1" applyAlignment="1" applyProtection="1">
      <alignment vertical="center" wrapText="1"/>
      <protection locked="0"/>
    </xf>
    <xf numFmtId="165" fontId="10" fillId="0" borderId="91" xfId="11" applyNumberFormat="1" applyFont="1" applyFill="1" applyBorder="1" applyAlignment="1" applyProtection="1">
      <alignment vertical="center" wrapText="1"/>
      <protection locked="0"/>
    </xf>
    <xf numFmtId="165" fontId="11" fillId="0" borderId="91" xfId="11" applyNumberFormat="1" applyFont="1" applyFill="1" applyBorder="1" applyAlignment="1">
      <alignment vertical="center" wrapText="1"/>
    </xf>
    <xf numFmtId="165" fontId="11" fillId="0" borderId="1" xfId="11" applyNumberFormat="1" applyFont="1" applyFill="1" applyBorder="1" applyAlignment="1" applyProtection="1">
      <alignment horizontal="center" vertical="center" wrapText="1"/>
    </xf>
    <xf numFmtId="14" fontId="12" fillId="0" borderId="20" xfId="11" applyNumberFormat="1" applyFont="1" applyFill="1" applyBorder="1" applyAlignment="1" applyProtection="1">
      <alignment horizontal="center" vertical="center" wrapText="1"/>
      <protection locked="0"/>
    </xf>
    <xf numFmtId="165" fontId="11" fillId="4" borderId="13" xfId="11" applyNumberFormat="1" applyFont="1" applyFill="1" applyBorder="1" applyAlignment="1" applyProtection="1">
      <alignment horizontal="center" vertical="center" wrapText="1"/>
    </xf>
    <xf numFmtId="14" fontId="12" fillId="0" borderId="6" xfId="11" applyNumberFormat="1" applyFont="1" applyFill="1" applyBorder="1" applyAlignment="1" applyProtection="1">
      <alignment horizontal="center" vertical="center" wrapText="1"/>
      <protection locked="0"/>
    </xf>
    <xf numFmtId="14" fontId="10" fillId="0" borderId="27" xfId="11" applyNumberFormat="1" applyFont="1" applyFill="1" applyBorder="1" applyAlignment="1" applyProtection="1">
      <alignment horizontal="center" vertical="center" wrapText="1"/>
      <protection locked="0"/>
    </xf>
    <xf numFmtId="165" fontId="11" fillId="0" borderId="34" xfId="11" applyNumberFormat="1" applyFont="1" applyFill="1" applyBorder="1" applyAlignment="1">
      <alignment horizontal="center" vertical="center" wrapText="1"/>
    </xf>
    <xf numFmtId="165" fontId="11" fillId="0" borderId="35" xfId="11" applyNumberFormat="1" applyFont="1" applyFill="1" applyBorder="1" applyAlignment="1" applyProtection="1">
      <alignment horizontal="center" vertical="center" wrapText="1"/>
    </xf>
    <xf numFmtId="165" fontId="11" fillId="0" borderId="48" xfId="11" applyNumberFormat="1" applyFont="1" applyFill="1" applyBorder="1" applyAlignment="1" applyProtection="1">
      <alignment vertical="center" wrapText="1"/>
    </xf>
    <xf numFmtId="165" fontId="11" fillId="0" borderId="40" xfId="11" applyNumberFormat="1" applyFont="1" applyFill="1" applyBorder="1" applyAlignment="1" applyProtection="1">
      <alignment horizontal="center" vertical="center" wrapText="1"/>
    </xf>
    <xf numFmtId="165" fontId="12" fillId="0" borderId="34" xfId="11" applyNumberFormat="1" applyFont="1" applyFill="1" applyBorder="1" applyAlignment="1">
      <alignment vertical="center" wrapText="1"/>
    </xf>
    <xf numFmtId="49" fontId="15" fillId="0" borderId="0" xfId="11" applyNumberFormat="1" applyFont="1" applyAlignment="1">
      <alignment horizontal="center" vertical="top" wrapText="1"/>
    </xf>
    <xf numFmtId="0" fontId="15" fillId="0" borderId="0" xfId="11" applyNumberFormat="1" applyFont="1" applyAlignment="1">
      <alignment vertical="top" wrapText="1"/>
    </xf>
    <xf numFmtId="3" fontId="15" fillId="0" borderId="0" xfId="11" applyNumberFormat="1" applyFont="1" applyBorder="1" applyAlignment="1">
      <alignment vertical="top" wrapText="1"/>
    </xf>
    <xf numFmtId="3" fontId="15" fillId="2" borderId="34" xfId="11" applyNumberFormat="1" applyFont="1" applyFill="1" applyBorder="1" applyAlignment="1">
      <alignment vertical="top" wrapText="1"/>
    </xf>
    <xf numFmtId="3" fontId="15" fillId="0" borderId="0" xfId="11" applyNumberFormat="1" applyFont="1" applyFill="1" applyBorder="1" applyAlignment="1">
      <alignment vertical="top" wrapText="1"/>
    </xf>
    <xf numFmtId="3" fontId="11" fillId="0" borderId="0" xfId="33" applyNumberFormat="1" applyFont="1" applyFill="1" applyBorder="1" applyAlignment="1" applyProtection="1">
      <alignment horizontal="center" vertical="center"/>
    </xf>
    <xf numFmtId="3" fontId="11" fillId="0" borderId="0" xfId="33" applyNumberFormat="1" applyFont="1" applyFill="1" applyBorder="1" applyAlignment="1" applyProtection="1">
      <alignment vertical="center"/>
    </xf>
    <xf numFmtId="3" fontId="11" fillId="0" borderId="0" xfId="33" applyNumberFormat="1" applyFont="1" applyFill="1" applyBorder="1" applyAlignment="1" applyProtection="1"/>
    <xf numFmtId="3" fontId="8" fillId="0" borderId="0" xfId="33" applyNumberFormat="1" applyFont="1" applyFill="1" applyProtection="1">
      <protection locked="0"/>
    </xf>
    <xf numFmtId="3" fontId="8" fillId="0" borderId="0" xfId="33" applyNumberFormat="1" applyFont="1" applyFill="1" applyProtection="1"/>
    <xf numFmtId="3" fontId="8" fillId="0" borderId="0" xfId="33" applyNumberFormat="1" applyFont="1" applyFill="1" applyAlignment="1" applyProtection="1">
      <alignment vertical="center"/>
    </xf>
    <xf numFmtId="3" fontId="8" fillId="0" borderId="0" xfId="33" applyNumberFormat="1" applyFont="1" applyFill="1" applyAlignment="1" applyProtection="1">
      <alignment vertical="center"/>
      <protection locked="0"/>
    </xf>
    <xf numFmtId="3" fontId="11" fillId="0" borderId="23" xfId="33" applyNumberFormat="1" applyFont="1" applyFill="1" applyBorder="1" applyAlignment="1" applyProtection="1">
      <alignment vertical="center"/>
    </xf>
    <xf numFmtId="49" fontId="17" fillId="0" borderId="5" xfId="0" applyNumberFormat="1" applyFont="1" applyBorder="1" applyAlignment="1">
      <alignment horizontal="left" indent="2"/>
    </xf>
    <xf numFmtId="49" fontId="18" fillId="0" borderId="21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left" indent="1"/>
    </xf>
    <xf numFmtId="165" fontId="11" fillId="0" borderId="9" xfId="11" applyNumberFormat="1" applyFont="1" applyFill="1" applyBorder="1" applyAlignment="1" applyProtection="1">
      <alignment horizontal="center" vertical="center" wrapText="1"/>
    </xf>
    <xf numFmtId="165" fontId="11" fillId="0" borderId="29" xfId="11" applyNumberFormat="1" applyFont="1" applyFill="1" applyBorder="1" applyAlignment="1" applyProtection="1">
      <alignment horizontal="center" vertical="center" wrapText="1"/>
    </xf>
    <xf numFmtId="3" fontId="11" fillId="0" borderId="32" xfId="11" applyNumberFormat="1" applyFont="1" applyFill="1" applyBorder="1" applyAlignment="1" applyProtection="1">
      <alignment vertical="center" wrapText="1"/>
    </xf>
    <xf numFmtId="3" fontId="12" fillId="0" borderId="18" xfId="11" applyNumberFormat="1" applyFont="1" applyFill="1" applyBorder="1" applyAlignment="1" applyProtection="1">
      <alignment vertical="center" wrapText="1"/>
    </xf>
    <xf numFmtId="3" fontId="12" fillId="0" borderId="17" xfId="11" applyNumberFormat="1" applyFont="1" applyFill="1" applyBorder="1" applyAlignment="1" applyProtection="1">
      <alignment vertical="center" wrapText="1"/>
    </xf>
    <xf numFmtId="3" fontId="10" fillId="0" borderId="29" xfId="11" applyNumberFormat="1" applyFont="1" applyFill="1" applyBorder="1" applyAlignment="1" applyProtection="1">
      <alignment vertical="center" wrapText="1"/>
    </xf>
    <xf numFmtId="3" fontId="11" fillId="0" borderId="29" xfId="11" applyNumberFormat="1" applyFont="1" applyFill="1" applyBorder="1" applyAlignment="1" applyProtection="1">
      <alignment vertical="center" wrapText="1"/>
    </xf>
    <xf numFmtId="3" fontId="11" fillId="0" borderId="39" xfId="11" applyNumberFormat="1" applyFont="1" applyFill="1" applyBorder="1" applyAlignment="1" applyProtection="1">
      <alignment vertical="center" wrapText="1"/>
    </xf>
    <xf numFmtId="3" fontId="12" fillId="0" borderId="41" xfId="11" applyNumberFormat="1" applyFont="1" applyFill="1" applyBorder="1" applyAlignment="1" applyProtection="1">
      <alignment vertical="center" wrapText="1"/>
    </xf>
    <xf numFmtId="0" fontId="12" fillId="0" borderId="2" xfId="0" applyFont="1" applyFill="1" applyBorder="1" applyAlignment="1">
      <alignment horizontal="left" indent="1"/>
    </xf>
    <xf numFmtId="0" fontId="12" fillId="0" borderId="5" xfId="0" applyFont="1" applyFill="1" applyBorder="1" applyAlignment="1">
      <alignment horizontal="left" indent="1"/>
    </xf>
    <xf numFmtId="0" fontId="11" fillId="0" borderId="0" xfId="0" applyFont="1" applyFill="1"/>
    <xf numFmtId="4" fontId="7" fillId="0" borderId="0" xfId="11" applyNumberFormat="1" applyFont="1" applyFill="1"/>
    <xf numFmtId="4" fontId="9" fillId="0" borderId="0" xfId="11" applyNumberFormat="1" applyFont="1" applyFill="1" applyBorder="1" applyAlignment="1">
      <alignment vertical="center"/>
    </xf>
    <xf numFmtId="0" fontId="33" fillId="0" borderId="0" xfId="32" applyFont="1" applyAlignment="1">
      <alignment vertical="top" wrapText="1"/>
    </xf>
    <xf numFmtId="0" fontId="33" fillId="0" borderId="0" xfId="28" applyFont="1" applyAlignment="1">
      <alignment vertical="top" wrapText="1"/>
    </xf>
    <xf numFmtId="3" fontId="11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11" applyNumberFormat="1" applyFont="1" applyFill="1" applyAlignment="1">
      <alignment horizontal="center" vertical="top"/>
    </xf>
    <xf numFmtId="3" fontId="16" fillId="0" borderId="0" xfId="11" applyNumberFormat="1" applyFont="1" applyFill="1" applyAlignment="1">
      <alignment vertical="top" wrapText="1"/>
    </xf>
    <xf numFmtId="3" fontId="16" fillId="0" borderId="0" xfId="11" applyNumberFormat="1" applyFont="1" applyFill="1" applyBorder="1" applyAlignment="1">
      <alignment vertical="top" wrapText="1"/>
    </xf>
    <xf numFmtId="3" fontId="15" fillId="0" borderId="0" xfId="1" applyNumberFormat="1" applyFont="1" applyFill="1" applyBorder="1" applyAlignment="1">
      <alignment horizontal="right" vertical="top" wrapText="1"/>
    </xf>
    <xf numFmtId="3" fontId="16" fillId="0" borderId="0" xfId="11" applyNumberFormat="1" applyFont="1" applyFill="1" applyAlignment="1">
      <alignment vertical="top"/>
    </xf>
    <xf numFmtId="0" fontId="12" fillId="0" borderId="0" xfId="11" applyFont="1" applyFill="1" applyBorder="1" applyAlignment="1"/>
    <xf numFmtId="3" fontId="11" fillId="0" borderId="0" xfId="11" applyNumberFormat="1" applyFont="1" applyFill="1" applyBorder="1" applyAlignment="1">
      <alignment horizontal="right" vertical="center" wrapText="1"/>
    </xf>
    <xf numFmtId="164" fontId="12" fillId="0" borderId="49" xfId="11" applyNumberFormat="1" applyFont="1" applyFill="1" applyBorder="1" applyAlignment="1"/>
    <xf numFmtId="3" fontId="11" fillId="0" borderId="58" xfId="11" applyNumberFormat="1" applyFont="1" applyBorder="1" applyAlignment="1">
      <alignment wrapText="1"/>
    </xf>
    <xf numFmtId="0" fontId="12" fillId="0" borderId="42" xfId="0" applyFont="1" applyFill="1" applyBorder="1" applyAlignment="1">
      <alignment horizontal="left" indent="1"/>
    </xf>
    <xf numFmtId="168" fontId="12" fillId="0" borderId="61" xfId="11" applyNumberFormat="1" applyFont="1" applyFill="1" applyBorder="1" applyAlignment="1">
      <alignment horizontal="center" vertical="center" wrapText="1"/>
    </xf>
    <xf numFmtId="168" fontId="12" fillId="0" borderId="62" xfId="11" applyNumberFormat="1" applyFont="1" applyFill="1" applyBorder="1" applyAlignment="1">
      <alignment horizontal="center" vertical="center" wrapText="1"/>
    </xf>
    <xf numFmtId="168" fontId="12" fillId="0" borderId="34" xfId="11" applyNumberFormat="1" applyFont="1" applyFill="1" applyBorder="1" applyAlignment="1">
      <alignment horizontal="center" vertical="center" wrapText="1"/>
    </xf>
    <xf numFmtId="3" fontId="51" fillId="0" borderId="60" xfId="11" applyNumberFormat="1" applyFont="1" applyFill="1" applyBorder="1" applyAlignment="1">
      <alignment horizontal="center" vertical="center" wrapText="1"/>
    </xf>
    <xf numFmtId="3" fontId="51" fillId="0" borderId="62" xfId="11" applyNumberFormat="1" applyFont="1" applyFill="1" applyBorder="1" applyAlignment="1">
      <alignment horizontal="center" vertical="center" wrapText="1"/>
    </xf>
    <xf numFmtId="3" fontId="51" fillId="0" borderId="63" xfId="11" applyNumberFormat="1" applyFont="1" applyFill="1" applyBorder="1" applyAlignment="1">
      <alignment horizontal="center" vertical="center" wrapText="1"/>
    </xf>
    <xf numFmtId="3" fontId="53" fillId="0" borderId="47" xfId="11" applyNumberFormat="1" applyFont="1" applyFill="1" applyBorder="1" applyAlignment="1">
      <alignment horizontal="center" vertical="center" wrapText="1"/>
    </xf>
    <xf numFmtId="3" fontId="51" fillId="0" borderId="86" xfId="11" applyNumberFormat="1" applyFont="1" applyFill="1" applyBorder="1" applyAlignment="1">
      <alignment horizontal="center" vertical="center" wrapText="1"/>
    </xf>
    <xf numFmtId="3" fontId="53" fillId="0" borderId="11" xfId="11" applyNumberFormat="1" applyFont="1" applyFill="1" applyBorder="1" applyAlignment="1">
      <alignment horizontal="center" vertical="center" wrapText="1"/>
    </xf>
    <xf numFmtId="3" fontId="53" fillId="0" borderId="95" xfId="11" applyNumberFormat="1" applyFont="1" applyFill="1" applyBorder="1" applyAlignment="1">
      <alignment horizontal="center" vertical="center" wrapText="1"/>
    </xf>
    <xf numFmtId="3" fontId="52" fillId="0" borderId="0" xfId="11" applyNumberFormat="1" applyFont="1" applyFill="1" applyAlignment="1">
      <alignment horizontal="center" vertical="center"/>
    </xf>
    <xf numFmtId="3" fontId="51" fillId="0" borderId="0" xfId="11" applyNumberFormat="1" applyFont="1" applyFill="1" applyAlignment="1">
      <alignment horizontal="center" vertical="center"/>
    </xf>
    <xf numFmtId="3" fontId="54" fillId="0" borderId="63" xfId="11" applyNumberFormat="1" applyFont="1" applyFill="1" applyBorder="1" applyAlignment="1">
      <alignment horizontal="center" vertical="center" wrapText="1"/>
    </xf>
    <xf numFmtId="3" fontId="53" fillId="0" borderId="11" xfId="11" applyNumberFormat="1" applyFont="1" applyFill="1" applyBorder="1" applyAlignment="1">
      <alignment horizontal="center" vertical="center"/>
    </xf>
    <xf numFmtId="3" fontId="54" fillId="0" borderId="62" xfId="11" applyNumberFormat="1" applyFont="1" applyFill="1" applyBorder="1" applyAlignment="1">
      <alignment horizontal="center" vertical="center" wrapText="1"/>
    </xf>
    <xf numFmtId="3" fontId="55" fillId="0" borderId="11" xfId="11" applyNumberFormat="1" applyFont="1" applyFill="1" applyBorder="1" applyAlignment="1">
      <alignment horizontal="center" vertical="center"/>
    </xf>
    <xf numFmtId="3" fontId="51" fillId="0" borderId="97" xfId="11" applyNumberFormat="1" applyFont="1" applyFill="1" applyBorder="1" applyAlignment="1">
      <alignment horizontal="center" vertical="center"/>
    </xf>
    <xf numFmtId="3" fontId="51" fillId="0" borderId="0" xfId="0" applyNumberFormat="1" applyFont="1" applyFill="1" applyAlignment="1">
      <alignment horizontal="center" vertical="center"/>
    </xf>
    <xf numFmtId="3" fontId="51" fillId="5" borderId="63" xfId="11" applyNumberFormat="1" applyFont="1" applyFill="1" applyBorder="1" applyAlignment="1">
      <alignment horizontal="center" vertical="center" wrapText="1"/>
    </xf>
    <xf numFmtId="3" fontId="53" fillId="5" borderId="11" xfId="11" applyNumberFormat="1" applyFont="1" applyFill="1" applyBorder="1" applyAlignment="1">
      <alignment horizontal="center" vertical="center" wrapText="1"/>
    </xf>
    <xf numFmtId="3" fontId="19" fillId="0" borderId="0" xfId="11" applyNumberFormat="1" applyFont="1" applyAlignment="1">
      <alignment vertical="top"/>
    </xf>
    <xf numFmtId="3" fontId="15" fillId="0" borderId="0" xfId="11" applyNumberFormat="1" applyFont="1" applyAlignment="1">
      <alignment vertical="top"/>
    </xf>
    <xf numFmtId="0" fontId="12" fillId="0" borderId="49" xfId="11" applyFont="1" applyBorder="1" applyAlignment="1">
      <alignment horizontal="center" vertical="center"/>
    </xf>
    <xf numFmtId="165" fontId="12" fillId="0" borderId="19" xfId="11" applyNumberFormat="1" applyFont="1" applyFill="1" applyBorder="1" applyAlignment="1" applyProtection="1">
      <alignment vertical="center" wrapText="1"/>
      <protection locked="0"/>
    </xf>
    <xf numFmtId="3" fontId="17" fillId="0" borderId="62" xfId="0" applyNumberFormat="1" applyFont="1" applyFill="1" applyBorder="1"/>
    <xf numFmtId="3" fontId="17" fillId="0" borderId="93" xfId="0" applyNumberFormat="1" applyFont="1" applyFill="1" applyBorder="1"/>
    <xf numFmtId="3" fontId="11" fillId="0" borderId="34" xfId="11" applyNumberFormat="1" applyFont="1" applyFill="1" applyBorder="1" applyAlignment="1">
      <alignment horizontal="center" vertical="center"/>
    </xf>
    <xf numFmtId="0" fontId="12" fillId="0" borderId="67" xfId="11" applyFont="1" applyFill="1" applyBorder="1" applyAlignment="1">
      <alignment wrapText="1"/>
    </xf>
    <xf numFmtId="0" fontId="12" fillId="0" borderId="2" xfId="11" applyFont="1" applyFill="1" applyBorder="1" applyAlignment="1">
      <alignment horizontal="left" vertical="center" wrapText="1" indent="2"/>
    </xf>
    <xf numFmtId="0" fontId="56" fillId="0" borderId="8" xfId="11" applyFont="1" applyFill="1" applyBorder="1" applyAlignment="1" applyProtection="1">
      <alignment horizontal="left" vertical="center" wrapText="1" indent="2"/>
      <protection locked="0"/>
    </xf>
    <xf numFmtId="3" fontId="51" fillId="5" borderId="60" xfId="11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wrapText="1" indent="1"/>
    </xf>
    <xf numFmtId="168" fontId="11" fillId="0" borderId="34" xfId="11" applyNumberFormat="1" applyFont="1" applyFill="1" applyBorder="1" applyAlignment="1">
      <alignment horizontal="center" vertical="center" wrapText="1"/>
    </xf>
    <xf numFmtId="3" fontId="12" fillId="0" borderId="11" xfId="11" applyNumberFormat="1" applyFont="1" applyFill="1" applyBorder="1" applyAlignment="1">
      <alignment vertical="center" wrapText="1"/>
    </xf>
    <xf numFmtId="3" fontId="12" fillId="0" borderId="10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/>
    <xf numFmtId="168" fontId="12" fillId="0" borderId="60" xfId="11" applyNumberFormat="1" applyFont="1" applyFill="1" applyBorder="1" applyAlignment="1">
      <alignment horizontal="center" vertical="center" wrapText="1"/>
    </xf>
    <xf numFmtId="0" fontId="12" fillId="0" borderId="17" xfId="11" applyFont="1" applyFill="1" applyBorder="1" applyAlignment="1">
      <alignment horizontal="left" vertical="center" wrapText="1" indent="1"/>
    </xf>
    <xf numFmtId="3" fontId="12" fillId="0" borderId="40" xfId="11" applyNumberFormat="1" applyFont="1" applyBorder="1"/>
    <xf numFmtId="168" fontId="12" fillId="0" borderId="63" xfId="11" applyNumberFormat="1" applyFont="1" applyFill="1" applyBorder="1" applyAlignment="1">
      <alignment horizontal="center" vertical="center" wrapText="1"/>
    </xf>
    <xf numFmtId="3" fontId="11" fillId="0" borderId="4" xfId="11" applyNumberFormat="1" applyFont="1" applyBorder="1"/>
    <xf numFmtId="3" fontId="11" fillId="0" borderId="24" xfId="11" applyNumberFormat="1" applyFont="1" applyBorder="1"/>
    <xf numFmtId="168" fontId="12" fillId="0" borderId="97" xfId="11" applyNumberFormat="1" applyFont="1" applyFill="1" applyBorder="1" applyAlignment="1">
      <alignment horizontal="center" vertical="center" wrapText="1"/>
    </xf>
    <xf numFmtId="3" fontId="11" fillId="0" borderId="1" xfId="11" applyNumberFormat="1" applyFont="1" applyBorder="1"/>
    <xf numFmtId="3" fontId="11" fillId="0" borderId="46" xfId="11" applyNumberFormat="1" applyFont="1" applyBorder="1"/>
    <xf numFmtId="3" fontId="11" fillId="0" borderId="27" xfId="11" applyNumberFormat="1" applyFont="1" applyBorder="1"/>
    <xf numFmtId="3" fontId="11" fillId="0" borderId="35" xfId="11" applyNumberFormat="1" applyFont="1" applyBorder="1"/>
    <xf numFmtId="168" fontId="12" fillId="0" borderId="11" xfId="11" applyNumberFormat="1" applyFont="1" applyFill="1" applyBorder="1" applyAlignment="1">
      <alignment horizontal="center" vertical="center" wrapText="1"/>
    </xf>
    <xf numFmtId="3" fontId="12" fillId="0" borderId="12" xfId="11" applyNumberFormat="1" applyFont="1" applyBorder="1" applyAlignment="1">
      <alignment horizontal="left" indent="1"/>
    </xf>
    <xf numFmtId="3" fontId="12" fillId="0" borderId="13" xfId="11" applyNumberFormat="1" applyFont="1" applyBorder="1"/>
    <xf numFmtId="3" fontId="11" fillId="0" borderId="34" xfId="1" applyNumberFormat="1" applyFont="1" applyBorder="1"/>
    <xf numFmtId="3" fontId="12" fillId="6" borderId="0" xfId="11" applyNumberFormat="1" applyFont="1" applyFill="1"/>
    <xf numFmtId="3" fontId="11" fillId="0" borderId="11" xfId="11" applyNumberFormat="1" applyFont="1" applyBorder="1" applyAlignment="1">
      <alignment horizontal="center" vertical="center" wrapText="1"/>
    </xf>
    <xf numFmtId="3" fontId="11" fillId="0" borderId="12" xfId="11" applyNumberFormat="1" applyFont="1" applyBorder="1" applyAlignment="1">
      <alignment horizontal="center" vertical="center" wrapText="1"/>
    </xf>
    <xf numFmtId="3" fontId="11" fillId="0" borderId="13" xfId="11" applyNumberFormat="1" applyFont="1" applyFill="1" applyBorder="1" applyAlignment="1">
      <alignment horizontal="center" vertical="center" wrapText="1"/>
    </xf>
    <xf numFmtId="3" fontId="11" fillId="0" borderId="13" xfId="11" applyNumberFormat="1" applyFont="1" applyBorder="1" applyAlignment="1">
      <alignment horizontal="center" vertical="center" wrapText="1"/>
    </xf>
    <xf numFmtId="3" fontId="12" fillId="0" borderId="59" xfId="11" applyNumberFormat="1" applyFont="1" applyFill="1" applyBorder="1" applyAlignment="1" applyProtection="1">
      <alignment vertical="center" wrapText="1"/>
      <protection locked="0"/>
    </xf>
    <xf numFmtId="3" fontId="21" fillId="0" borderId="18" xfId="1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/>
    <xf numFmtId="168" fontId="12" fillId="0" borderId="48" xfId="1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3" fontId="11" fillId="0" borderId="13" xfId="11" applyNumberFormat="1" applyFont="1" applyBorder="1" applyAlignment="1">
      <alignment wrapText="1"/>
    </xf>
    <xf numFmtId="0" fontId="38" fillId="0" borderId="9" xfId="11" applyFont="1" applyBorder="1" applyAlignment="1">
      <alignment horizontal="center"/>
    </xf>
    <xf numFmtId="3" fontId="10" fillId="0" borderId="0" xfId="11" applyNumberFormat="1" applyFont="1" applyFill="1" applyBorder="1" applyAlignment="1">
      <alignment horizontal="right"/>
    </xf>
    <xf numFmtId="3" fontId="11" fillId="0" borderId="0" xfId="11" applyNumberFormat="1" applyFont="1" applyFill="1" applyBorder="1" applyAlignment="1">
      <alignment horizontal="center" vertical="center"/>
    </xf>
    <xf numFmtId="3" fontId="10" fillId="0" borderId="0" xfId="11" applyNumberFormat="1" applyFont="1" applyFill="1" applyBorder="1" applyAlignment="1">
      <alignment vertical="center"/>
    </xf>
    <xf numFmtId="3" fontId="11" fillId="0" borderId="55" xfId="11" applyNumberFormat="1" applyFont="1" applyFill="1" applyBorder="1" applyAlignment="1"/>
    <xf numFmtId="3" fontId="11" fillId="0" borderId="17" xfId="11" applyNumberFormat="1" applyFont="1" applyFill="1" applyBorder="1" applyAlignment="1">
      <alignment vertical="center"/>
    </xf>
    <xf numFmtId="3" fontId="11" fillId="0" borderId="60" xfId="11" applyNumberFormat="1" applyFont="1" applyFill="1" applyBorder="1" applyAlignment="1">
      <alignment vertical="center"/>
    </xf>
    <xf numFmtId="3" fontId="11" fillId="0" borderId="16" xfId="11" applyNumberFormat="1" applyFont="1" applyFill="1" applyBorder="1" applyAlignment="1">
      <alignment vertical="center"/>
    </xf>
    <xf numFmtId="3" fontId="11" fillId="0" borderId="8" xfId="11" applyNumberFormat="1" applyFont="1" applyFill="1" applyBorder="1" applyAlignment="1">
      <alignment vertical="center"/>
    </xf>
    <xf numFmtId="3" fontId="11" fillId="0" borderId="13" xfId="11" applyNumberFormat="1" applyFont="1" applyFill="1" applyBorder="1" applyAlignment="1">
      <alignment horizontal="center" vertical="center"/>
    </xf>
    <xf numFmtId="3" fontId="11" fillId="0" borderId="58" xfId="11" applyNumberFormat="1" applyFont="1" applyFill="1" applyBorder="1" applyAlignment="1">
      <alignment horizontal="center" vertical="center"/>
    </xf>
    <xf numFmtId="0" fontId="19" fillId="0" borderId="0" xfId="0" applyFont="1" applyFill="1"/>
    <xf numFmtId="4" fontId="19" fillId="0" borderId="0" xfId="0" applyNumberFormat="1" applyFont="1" applyFill="1"/>
    <xf numFmtId="0" fontId="11" fillId="0" borderId="0" xfId="11" applyFont="1" applyFill="1"/>
    <xf numFmtId="0" fontId="15" fillId="0" borderId="0" xfId="0" applyFont="1" applyFill="1"/>
    <xf numFmtId="4" fontId="11" fillId="0" borderId="0" xfId="11" applyNumberFormat="1" applyFont="1" applyFill="1"/>
    <xf numFmtId="9" fontId="12" fillId="0" borderId="0" xfId="36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4" fontId="12" fillId="0" borderId="0" xfId="11" applyNumberFormat="1" applyFont="1" applyFill="1"/>
    <xf numFmtId="0" fontId="16" fillId="0" borderId="0" xfId="0" applyFont="1" applyFill="1"/>
    <xf numFmtId="4" fontId="12" fillId="0" borderId="0" xfId="11" applyNumberFormat="1" applyFont="1" applyFill="1" applyAlignment="1">
      <alignment horizontal="center"/>
    </xf>
    <xf numFmtId="4" fontId="16" fillId="0" borderId="0" xfId="0" applyNumberFormat="1" applyFont="1" applyFill="1"/>
    <xf numFmtId="4" fontId="12" fillId="0" borderId="0" xfId="11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2" fillId="0" borderId="0" xfId="11" applyFont="1" applyFill="1"/>
    <xf numFmtId="3" fontId="12" fillId="0" borderId="62" xfId="33" applyNumberFormat="1" applyFont="1" applyFill="1" applyBorder="1" applyAlignment="1" applyProtection="1">
      <alignment vertical="center"/>
      <protection locked="0"/>
    </xf>
    <xf numFmtId="3" fontId="12" fillId="0" borderId="2" xfId="33" applyNumberFormat="1" applyFont="1" applyFill="1" applyBorder="1" applyAlignment="1" applyProtection="1">
      <alignment vertical="center"/>
      <protection locked="0"/>
    </xf>
    <xf numFmtId="3" fontId="12" fillId="0" borderId="56" xfId="33" applyNumberFormat="1" applyFont="1" applyFill="1" applyBorder="1" applyAlignment="1" applyProtection="1">
      <alignment vertical="center"/>
      <protection locked="0"/>
    </xf>
    <xf numFmtId="0" fontId="12" fillId="0" borderId="63" xfId="11" applyFont="1" applyBorder="1" applyAlignment="1">
      <alignment horizontal="center" wrapText="1"/>
    </xf>
    <xf numFmtId="0" fontId="7" fillId="0" borderId="0" xfId="11" applyNumberFormat="1" applyFont="1" applyFill="1" applyAlignment="1">
      <alignment vertical="center" wrapText="1"/>
    </xf>
    <xf numFmtId="0" fontId="12" fillId="0" borderId="0" xfId="11" applyNumberFormat="1" applyFont="1" applyFill="1" applyAlignment="1">
      <alignment vertical="center" wrapText="1"/>
    </xf>
    <xf numFmtId="0" fontId="12" fillId="0" borderId="95" xfId="11" applyNumberFormat="1" applyFont="1" applyFill="1" applyBorder="1" applyAlignment="1">
      <alignment horizontal="center"/>
    </xf>
    <xf numFmtId="0" fontId="11" fillId="0" borderId="47" xfId="11" applyNumberFormat="1" applyFont="1" applyFill="1" applyBorder="1" applyAlignment="1">
      <alignment horizontal="center"/>
    </xf>
    <xf numFmtId="0" fontId="12" fillId="0" borderId="57" xfId="11" applyNumberFormat="1" applyFont="1" applyFill="1" applyBorder="1" applyAlignment="1">
      <alignment horizontal="center"/>
    </xf>
    <xf numFmtId="0" fontId="7" fillId="0" borderId="0" xfId="11" applyNumberFormat="1" applyFont="1" applyFill="1" applyAlignment="1">
      <alignment horizontal="center" vertical="center" wrapText="1"/>
    </xf>
    <xf numFmtId="0" fontId="12" fillId="0" borderId="0" xfId="11" applyNumberFormat="1" applyFont="1" applyFill="1" applyAlignment="1">
      <alignment horizontal="center" vertical="center" wrapText="1"/>
    </xf>
    <xf numFmtId="0" fontId="12" fillId="0" borderId="86" xfId="11" applyNumberFormat="1" applyFont="1" applyFill="1" applyBorder="1" applyAlignment="1">
      <alignment horizontal="center" vertical="center" wrapText="1"/>
    </xf>
    <xf numFmtId="0" fontId="11" fillId="0" borderId="11" xfId="11" applyNumberFormat="1" applyFont="1" applyFill="1" applyBorder="1" applyAlignment="1">
      <alignment horizontal="center" vertical="center" wrapText="1"/>
    </xf>
    <xf numFmtId="0" fontId="12" fillId="0" borderId="97" xfId="11" applyNumberFormat="1" applyFont="1" applyFill="1" applyBorder="1" applyAlignment="1">
      <alignment horizontal="center" vertical="center" wrapText="1"/>
    </xf>
    <xf numFmtId="3" fontId="51" fillId="5" borderId="62" xfId="11" applyNumberFormat="1" applyFont="1" applyFill="1" applyBorder="1" applyAlignment="1">
      <alignment horizontal="center" vertical="center" wrapText="1"/>
    </xf>
    <xf numFmtId="3" fontId="16" fillId="0" borderId="0" xfId="11" applyNumberFormat="1" applyFont="1" applyBorder="1" applyAlignment="1">
      <alignment vertical="top" wrapText="1"/>
    </xf>
    <xf numFmtId="3" fontId="15" fillId="0" borderId="0" xfId="11" applyNumberFormat="1" applyFont="1" applyAlignment="1">
      <alignment vertical="top" wrapText="1"/>
    </xf>
    <xf numFmtId="49" fontId="17" fillId="0" borderId="0" xfId="11" applyNumberFormat="1" applyFont="1" applyAlignment="1">
      <alignment horizontal="center" vertical="top" wrapText="1"/>
    </xf>
    <xf numFmtId="0" fontId="17" fillId="0" borderId="0" xfId="11" applyNumberFormat="1" applyFont="1" applyAlignment="1">
      <alignment vertical="top"/>
    </xf>
    <xf numFmtId="0" fontId="17" fillId="0" borderId="0" xfId="11" applyNumberFormat="1" applyFont="1" applyAlignment="1">
      <alignment horizontal="justify" vertical="top"/>
    </xf>
    <xf numFmtId="3" fontId="17" fillId="0" borderId="0" xfId="11" applyNumberFormat="1" applyFont="1" applyAlignment="1">
      <alignment vertical="top" wrapText="1"/>
    </xf>
    <xf numFmtId="3" fontId="17" fillId="0" borderId="0" xfId="11" applyNumberFormat="1" applyFont="1" applyFill="1" applyAlignment="1">
      <alignment vertical="top" wrapText="1"/>
    </xf>
    <xf numFmtId="3" fontId="17" fillId="0" borderId="0" xfId="11" applyNumberFormat="1" applyFont="1" applyAlignment="1">
      <alignment vertical="top"/>
    </xf>
    <xf numFmtId="3" fontId="16" fillId="0" borderId="0" xfId="11" applyNumberFormat="1" applyFont="1" applyBorder="1" applyAlignment="1">
      <alignment vertical="top"/>
    </xf>
    <xf numFmtId="0" fontId="16" fillId="0" borderId="0" xfId="11" applyNumberFormat="1" applyFont="1" applyAlignment="1">
      <alignment horizontal="right" vertical="top" wrapText="1"/>
    </xf>
    <xf numFmtId="0" fontId="21" fillId="0" borderId="20" xfId="11" applyFont="1" applyFill="1" applyBorder="1" applyAlignment="1" applyProtection="1">
      <alignment horizontal="left" vertical="center" indent="1"/>
      <protection locked="0"/>
    </xf>
    <xf numFmtId="3" fontId="9" fillId="0" borderId="0" xfId="33" applyNumberFormat="1" applyFont="1" applyFill="1" applyAlignment="1" applyProtection="1">
      <alignment horizontal="center"/>
    </xf>
    <xf numFmtId="3" fontId="11" fillId="0" borderId="0" xfId="33" applyNumberFormat="1" applyFont="1" applyFill="1" applyBorder="1" applyAlignment="1" applyProtection="1">
      <alignment horizontal="left" vertical="center" indent="1"/>
    </xf>
    <xf numFmtId="0" fontId="16" fillId="0" borderId="0" xfId="11" applyNumberFormat="1" applyFont="1" applyAlignment="1">
      <alignment horizontal="left" vertical="top" wrapText="1"/>
    </xf>
    <xf numFmtId="0" fontId="16" fillId="0" borderId="0" xfId="11" applyNumberFormat="1" applyFont="1" applyAlignment="1">
      <alignment horizontal="justify" vertical="top"/>
    </xf>
    <xf numFmtId="0" fontId="16" fillId="0" borderId="0" xfId="11" applyNumberFormat="1" applyFont="1" applyAlignment="1">
      <alignment horizontal="justify" vertical="top" wrapText="1"/>
    </xf>
    <xf numFmtId="0" fontId="16" fillId="0" borderId="0" xfId="11" applyNumberFormat="1" applyFont="1" applyAlignment="1">
      <alignment vertical="top" wrapText="1"/>
    </xf>
    <xf numFmtId="0" fontId="16" fillId="0" borderId="0" xfId="11" applyFont="1" applyAlignment="1">
      <alignment horizontal="justify" vertical="top" wrapText="1"/>
    </xf>
    <xf numFmtId="4" fontId="12" fillId="0" borderId="39" xfId="11" applyNumberFormat="1" applyFont="1" applyFill="1" applyBorder="1" applyAlignment="1">
      <alignment horizontal="left" vertical="center" wrapText="1"/>
    </xf>
    <xf numFmtId="0" fontId="12" fillId="0" borderId="39" xfId="11" applyFont="1" applyFill="1" applyBorder="1" applyAlignment="1"/>
    <xf numFmtId="49" fontId="12" fillId="0" borderId="93" xfId="11" applyNumberFormat="1" applyFont="1" applyFill="1" applyBorder="1" applyAlignment="1">
      <alignment horizontal="left" vertical="center" wrapText="1"/>
    </xf>
    <xf numFmtId="0" fontId="12" fillId="0" borderId="2" xfId="11" applyFont="1" applyFill="1" applyBorder="1" applyAlignment="1"/>
    <xf numFmtId="0" fontId="12" fillId="0" borderId="31" xfId="11" applyFont="1" applyFill="1" applyBorder="1" applyAlignment="1"/>
    <xf numFmtId="0" fontId="12" fillId="0" borderId="18" xfId="11" applyFont="1" applyFill="1" applyBorder="1" applyAlignment="1"/>
    <xf numFmtId="49" fontId="12" fillId="0" borderId="94" xfId="11" applyNumberFormat="1" applyFont="1" applyFill="1" applyBorder="1" applyAlignment="1">
      <alignment horizontal="left" vertical="center" wrapText="1"/>
    </xf>
    <xf numFmtId="3" fontId="12" fillId="0" borderId="16" xfId="31" applyNumberFormat="1" applyFont="1" applyFill="1" applyBorder="1" applyAlignment="1" applyProtection="1">
      <alignment vertical="center" wrapText="1"/>
    </xf>
    <xf numFmtId="49" fontId="12" fillId="0" borderId="88" xfId="11" applyNumberFormat="1" applyFont="1" applyFill="1" applyBorder="1" applyAlignment="1">
      <alignment horizontal="left" vertical="center" wrapText="1"/>
    </xf>
    <xf numFmtId="0" fontId="12" fillId="0" borderId="26" xfId="11" applyFont="1" applyFill="1" applyBorder="1" applyAlignment="1"/>
    <xf numFmtId="49" fontId="12" fillId="0" borderId="90" xfId="11" applyNumberFormat="1" applyFont="1" applyFill="1" applyBorder="1" applyAlignment="1">
      <alignment horizontal="left" vertical="center" wrapText="1"/>
    </xf>
    <xf numFmtId="3" fontId="16" fillId="0" borderId="0" xfId="0" quotePrefix="1" applyNumberFormat="1" applyFont="1" applyFill="1"/>
    <xf numFmtId="3" fontId="16" fillId="0" borderId="20" xfId="0" applyNumberFormat="1" applyFont="1" applyFill="1" applyBorder="1"/>
    <xf numFmtId="3" fontId="16" fillId="0" borderId="2" xfId="0" applyNumberFormat="1" applyFont="1" applyFill="1" applyBorder="1"/>
    <xf numFmtId="3" fontId="16" fillId="0" borderId="18" xfId="0" applyNumberFormat="1" applyFont="1" applyFill="1" applyBorder="1"/>
    <xf numFmtId="3" fontId="16" fillId="0" borderId="4" xfId="0" applyNumberFormat="1" applyFont="1" applyFill="1" applyBorder="1"/>
    <xf numFmtId="3" fontId="16" fillId="0" borderId="25" xfId="0" applyNumberFormat="1" applyFont="1" applyFill="1" applyBorder="1"/>
    <xf numFmtId="3" fontId="16" fillId="0" borderId="26" xfId="0" applyNumberFormat="1" applyFont="1" applyFill="1" applyBorder="1"/>
    <xf numFmtId="3" fontId="19" fillId="0" borderId="0" xfId="0" applyNumberFormat="1" applyFont="1" applyFill="1"/>
    <xf numFmtId="3" fontId="19" fillId="0" borderId="0" xfId="0" applyNumberFormat="1" applyFont="1" applyFill="1" applyAlignment="1">
      <alignment horizontal="right"/>
    </xf>
    <xf numFmtId="3" fontId="20" fillId="0" borderId="0" xfId="0" applyNumberFormat="1" applyFont="1" applyFill="1"/>
    <xf numFmtId="3" fontId="18" fillId="0" borderId="0" xfId="0" applyNumberFormat="1" applyFont="1" applyFill="1" applyAlignment="1">
      <alignment horizontal="left"/>
    </xf>
    <xf numFmtId="3" fontId="18" fillId="0" borderId="0" xfId="0" applyNumberFormat="1" applyFont="1" applyFill="1"/>
    <xf numFmtId="3" fontId="18" fillId="0" borderId="0" xfId="0" applyNumberFormat="1" applyFont="1" applyFill="1" applyAlignment="1">
      <alignment horizontal="right"/>
    </xf>
    <xf numFmtId="49" fontId="15" fillId="0" borderId="34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/>
    </xf>
    <xf numFmtId="3" fontId="15" fillId="0" borderId="13" xfId="0" applyNumberFormat="1" applyFont="1" applyFill="1" applyBorder="1" applyAlignment="1">
      <alignment horizontal="center" vertical="center" wrapText="1"/>
    </xf>
    <xf numFmtId="3" fontId="15" fillId="0" borderId="10" xfId="0" applyNumberFormat="1" applyFont="1" applyFill="1" applyBorder="1" applyAlignment="1">
      <alignment horizontal="center" vertical="center" wrapText="1"/>
    </xf>
    <xf numFmtId="3" fontId="15" fillId="0" borderId="9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Alignment="1">
      <alignment horizontal="center" vertical="center"/>
    </xf>
    <xf numFmtId="49" fontId="15" fillId="0" borderId="34" xfId="0" applyNumberFormat="1" applyFont="1" applyFill="1" applyBorder="1" applyAlignment="1">
      <alignment horizontal="center"/>
    </xf>
    <xf numFmtId="49" fontId="15" fillId="0" borderId="12" xfId="0" applyNumberFormat="1" applyFont="1" applyFill="1" applyBorder="1" applyAlignment="1">
      <alignment horizontal="center"/>
    </xf>
    <xf numFmtId="49" fontId="15" fillId="0" borderId="46" xfId="0" applyNumberFormat="1" applyFont="1" applyFill="1" applyBorder="1" applyAlignment="1">
      <alignment horizontal="center"/>
    </xf>
    <xf numFmtId="49" fontId="15" fillId="0" borderId="0" xfId="0" applyNumberFormat="1" applyFont="1" applyFill="1" applyBorder="1"/>
    <xf numFmtId="3" fontId="15" fillId="0" borderId="1" xfId="0" applyNumberFormat="1" applyFont="1" applyFill="1" applyBorder="1"/>
    <xf numFmtId="3" fontId="15" fillId="0" borderId="31" xfId="0" applyNumberFormat="1" applyFont="1" applyFill="1" applyBorder="1"/>
    <xf numFmtId="3" fontId="15" fillId="0" borderId="32" xfId="0" applyNumberFormat="1" applyFont="1" applyFill="1" applyBorder="1"/>
    <xf numFmtId="49" fontId="15" fillId="0" borderId="41" xfId="0" applyNumberFormat="1" applyFont="1" applyFill="1" applyBorder="1" applyAlignment="1">
      <alignment horizontal="left" indent="1"/>
    </xf>
    <xf numFmtId="49" fontId="16" fillId="0" borderId="30" xfId="0" applyNumberFormat="1" applyFont="1" applyFill="1" applyBorder="1" applyAlignment="1">
      <alignment horizontal="center"/>
    </xf>
    <xf numFmtId="3" fontId="15" fillId="0" borderId="6" xfId="0" applyNumberFormat="1" applyFont="1" applyFill="1" applyBorder="1"/>
    <xf numFmtId="3" fontId="15" fillId="0" borderId="16" xfId="0" applyNumberFormat="1" applyFont="1" applyFill="1" applyBorder="1"/>
    <xf numFmtId="3" fontId="15" fillId="0" borderId="17" xfId="0" applyNumberFormat="1" applyFont="1" applyFill="1" applyBorder="1"/>
    <xf numFmtId="49" fontId="16" fillId="0" borderId="22" xfId="0" applyNumberFormat="1" applyFont="1" applyFill="1" applyBorder="1" applyAlignment="1">
      <alignment horizontal="center"/>
    </xf>
    <xf numFmtId="49" fontId="16" fillId="0" borderId="42" xfId="0" applyNumberFormat="1" applyFont="1" applyFill="1" applyBorder="1" applyAlignment="1">
      <alignment horizontal="left" indent="2"/>
    </xf>
    <xf numFmtId="49" fontId="16" fillId="0" borderId="24" xfId="0" applyNumberFormat="1" applyFont="1" applyFill="1" applyBorder="1" applyAlignment="1">
      <alignment horizontal="center"/>
    </xf>
    <xf numFmtId="49" fontId="16" fillId="0" borderId="5" xfId="0" applyNumberFormat="1" applyFont="1" applyFill="1" applyBorder="1" applyAlignment="1">
      <alignment horizontal="left" indent="2"/>
    </xf>
    <xf numFmtId="49" fontId="17" fillId="0" borderId="24" xfId="0" applyNumberFormat="1" applyFont="1" applyFill="1" applyBorder="1" applyAlignment="1">
      <alignment horizontal="center"/>
    </xf>
    <xf numFmtId="49" fontId="17" fillId="0" borderId="5" xfId="0" applyNumberFormat="1" applyFont="1" applyFill="1" applyBorder="1" applyAlignment="1">
      <alignment horizontal="left" indent="2"/>
    </xf>
    <xf numFmtId="3" fontId="17" fillId="0" borderId="4" xfId="0" applyNumberFormat="1" applyFont="1" applyFill="1" applyBorder="1"/>
    <xf numFmtId="3" fontId="17" fillId="0" borderId="25" xfId="0" applyNumberFormat="1" applyFont="1" applyFill="1" applyBorder="1"/>
    <xf numFmtId="3" fontId="17" fillId="0" borderId="26" xfId="0" applyNumberFormat="1" applyFont="1" applyFill="1" applyBorder="1"/>
    <xf numFmtId="49" fontId="15" fillId="0" borderId="41" xfId="0" applyNumberFormat="1" applyFont="1" applyFill="1" applyBorder="1"/>
    <xf numFmtId="49" fontId="15" fillId="0" borderId="41" xfId="0" applyNumberFormat="1" applyFont="1" applyFill="1" applyBorder="1" applyAlignment="1">
      <alignment horizontal="left"/>
    </xf>
    <xf numFmtId="49" fontId="15" fillId="0" borderId="35" xfId="0" applyNumberFormat="1" applyFont="1" applyFill="1" applyBorder="1" applyAlignment="1">
      <alignment horizontal="center"/>
    </xf>
    <xf numFmtId="49" fontId="15" fillId="0" borderId="43" xfId="0" applyNumberFormat="1" applyFont="1" applyFill="1" applyBorder="1"/>
    <xf numFmtId="3" fontId="15" fillId="0" borderId="27" xfId="0" applyNumberFormat="1" applyFont="1" applyFill="1" applyBorder="1"/>
    <xf numFmtId="3" fontId="15" fillId="0" borderId="28" xfId="0" applyNumberFormat="1" applyFont="1" applyFill="1" applyBorder="1"/>
    <xf numFmtId="3" fontId="15" fillId="0" borderId="29" xfId="0" applyNumberFormat="1" applyFont="1" applyFill="1" applyBorder="1"/>
    <xf numFmtId="3" fontId="15" fillId="0" borderId="0" xfId="0" applyNumberFormat="1" applyFont="1" applyFill="1" applyBorder="1" applyAlignment="1">
      <alignment horizontal="center"/>
    </xf>
    <xf numFmtId="3" fontId="15" fillId="0" borderId="0" xfId="0" applyNumberFormat="1" applyFont="1" applyFill="1" applyBorder="1"/>
    <xf numFmtId="49" fontId="15" fillId="0" borderId="41" xfId="0" applyNumberFormat="1" applyFont="1" applyFill="1" applyBorder="1" applyAlignment="1">
      <alignment horizontal="center" vertical="center"/>
    </xf>
    <xf numFmtId="49" fontId="15" fillId="0" borderId="33" xfId="0" applyNumberFormat="1" applyFont="1" applyFill="1" applyBorder="1" applyAlignment="1">
      <alignment horizontal="center"/>
    </xf>
    <xf numFmtId="49" fontId="15" fillId="0" borderId="45" xfId="0" applyNumberFormat="1" applyFont="1" applyFill="1" applyBorder="1" applyAlignment="1">
      <alignment horizontal="center"/>
    </xf>
    <xf numFmtId="49" fontId="18" fillId="0" borderId="21" xfId="0" applyNumberFormat="1" applyFont="1" applyFill="1" applyBorder="1" applyAlignment="1">
      <alignment horizontal="center"/>
    </xf>
    <xf numFmtId="49" fontId="18" fillId="0" borderId="15" xfId="0" applyNumberFormat="1" applyFont="1" applyFill="1" applyBorder="1" applyAlignment="1">
      <alignment horizontal="left" indent="1"/>
    </xf>
    <xf numFmtId="3" fontId="18" fillId="0" borderId="40" xfId="0" applyNumberFormat="1" applyFont="1" applyFill="1" applyBorder="1"/>
    <xf numFmtId="3" fontId="18" fillId="0" borderId="38" xfId="0" applyNumberFormat="1" applyFont="1" applyFill="1" applyBorder="1"/>
    <xf numFmtId="3" fontId="18" fillId="0" borderId="39" xfId="0" applyNumberFormat="1" applyFont="1" applyFill="1" applyBorder="1"/>
    <xf numFmtId="49" fontId="17" fillId="0" borderId="5" xfId="0" applyNumberFormat="1" applyFont="1" applyFill="1" applyBorder="1" applyAlignment="1">
      <alignment horizontal="left" indent="3"/>
    </xf>
    <xf numFmtId="3" fontId="16" fillId="0" borderId="61" xfId="0" applyNumberFormat="1" applyFont="1" applyFill="1" applyBorder="1"/>
    <xf numFmtId="3" fontId="16" fillId="0" borderId="38" xfId="0" applyNumberFormat="1" applyFont="1" applyFill="1" applyBorder="1"/>
    <xf numFmtId="3" fontId="16" fillId="0" borderId="39" xfId="0" applyNumberFormat="1" applyFont="1" applyFill="1" applyBorder="1"/>
    <xf numFmtId="3" fontId="16" fillId="0" borderId="62" xfId="0" applyNumberFormat="1" applyFont="1" applyFill="1" applyBorder="1"/>
    <xf numFmtId="3" fontId="16" fillId="0" borderId="63" xfId="0" applyNumberFormat="1" applyFont="1" applyFill="1" applyBorder="1"/>
    <xf numFmtId="3" fontId="16" fillId="0" borderId="89" xfId="0" applyNumberFormat="1" applyFont="1" applyFill="1" applyBorder="1"/>
    <xf numFmtId="3" fontId="16" fillId="0" borderId="19" xfId="0" applyNumberFormat="1" applyFont="1" applyFill="1" applyBorder="1"/>
    <xf numFmtId="3" fontId="16" fillId="0" borderId="36" xfId="0" applyNumberFormat="1" applyFont="1" applyFill="1" applyBorder="1"/>
    <xf numFmtId="49" fontId="16" fillId="0" borderId="7" xfId="0" applyNumberFormat="1" applyFont="1" applyFill="1" applyBorder="1"/>
    <xf numFmtId="49" fontId="16" fillId="0" borderId="23" xfId="0" applyNumberFormat="1" applyFont="1" applyFill="1" applyBorder="1" applyAlignment="1">
      <alignment horizontal="center"/>
    </xf>
    <xf numFmtId="49" fontId="16" fillId="0" borderId="44" xfId="0" applyNumberFormat="1" applyFont="1" applyFill="1" applyBorder="1"/>
    <xf numFmtId="3" fontId="16" fillId="0" borderId="37" xfId="0" applyNumberFormat="1" applyFont="1" applyFill="1" applyBorder="1"/>
    <xf numFmtId="49" fontId="17" fillId="0" borderId="23" xfId="0" applyNumberFormat="1" applyFont="1" applyFill="1" applyBorder="1" applyAlignment="1">
      <alignment horizontal="center"/>
    </xf>
    <xf numFmtId="49" fontId="17" fillId="0" borderId="44" xfId="0" applyNumberFormat="1" applyFont="1" applyFill="1" applyBorder="1" applyAlignment="1">
      <alignment horizontal="left" indent="3"/>
    </xf>
    <xf numFmtId="3" fontId="17" fillId="0" borderId="37" xfId="0" applyNumberFormat="1" applyFont="1" applyFill="1" applyBorder="1"/>
    <xf numFmtId="3" fontId="17" fillId="0" borderId="19" xfId="0" applyNumberFormat="1" applyFont="1" applyFill="1" applyBorder="1"/>
    <xf numFmtId="3" fontId="17" fillId="0" borderId="36" xfId="0" applyNumberFormat="1" applyFont="1" applyFill="1" applyBorder="1"/>
    <xf numFmtId="49" fontId="15" fillId="0" borderId="21" xfId="0" applyNumberFormat="1" applyFont="1" applyFill="1" applyBorder="1" applyAlignment="1">
      <alignment horizontal="center"/>
    </xf>
    <xf numFmtId="49" fontId="15" fillId="0" borderId="15" xfId="0" applyNumberFormat="1" applyFont="1" applyFill="1" applyBorder="1"/>
    <xf numFmtId="164" fontId="15" fillId="0" borderId="40" xfId="0" applyNumberFormat="1" applyFont="1" applyFill="1" applyBorder="1"/>
    <xf numFmtId="164" fontId="15" fillId="0" borderId="38" xfId="0" applyNumberFormat="1" applyFont="1" applyFill="1" applyBorder="1"/>
    <xf numFmtId="164" fontId="15" fillId="0" borderId="39" xfId="0" applyNumberFormat="1" applyFont="1" applyFill="1" applyBorder="1"/>
    <xf numFmtId="49" fontId="17" fillId="0" borderId="5" xfId="0" applyNumberFormat="1" applyFont="1" applyFill="1" applyBorder="1" applyAlignment="1">
      <alignment horizontal="left"/>
    </xf>
    <xf numFmtId="164" fontId="17" fillId="0" borderId="4" xfId="0" applyNumberFormat="1" applyFont="1" applyFill="1" applyBorder="1"/>
    <xf numFmtId="164" fontId="17" fillId="0" borderId="25" xfId="0" applyNumberFormat="1" applyFont="1" applyFill="1" applyBorder="1"/>
    <xf numFmtId="164" fontId="17" fillId="0" borderId="26" xfId="0" applyNumberFormat="1" applyFont="1" applyFill="1" applyBorder="1"/>
    <xf numFmtId="49" fontId="15" fillId="0" borderId="24" xfId="0" applyNumberFormat="1" applyFont="1" applyFill="1" applyBorder="1" applyAlignment="1">
      <alignment horizontal="center"/>
    </xf>
    <xf numFmtId="49" fontId="15" fillId="0" borderId="5" xfId="0" applyNumberFormat="1" applyFont="1" applyFill="1" applyBorder="1"/>
    <xf numFmtId="164" fontId="15" fillId="0" borderId="4" xfId="0" applyNumberFormat="1" applyFont="1" applyFill="1" applyBorder="1"/>
    <xf numFmtId="164" fontId="15" fillId="0" borderId="25" xfId="0" applyNumberFormat="1" applyFont="1" applyFill="1" applyBorder="1"/>
    <xf numFmtId="164" fontId="15" fillId="0" borderId="26" xfId="0" applyNumberFormat="1" applyFont="1" applyFill="1" applyBorder="1"/>
    <xf numFmtId="164" fontId="15" fillId="0" borderId="13" xfId="0" applyNumberFormat="1" applyFont="1" applyFill="1" applyBorder="1"/>
    <xf numFmtId="164" fontId="15" fillId="0" borderId="10" xfId="0" applyNumberFormat="1" applyFont="1" applyFill="1" applyBorder="1"/>
    <xf numFmtId="164" fontId="15" fillId="0" borderId="9" xfId="0" applyNumberFormat="1" applyFont="1" applyFill="1" applyBorder="1"/>
    <xf numFmtId="0" fontId="12" fillId="0" borderId="48" xfId="11" applyFont="1" applyFill="1" applyBorder="1" applyAlignment="1">
      <alignment horizontal="center" vertical="center"/>
    </xf>
    <xf numFmtId="164" fontId="12" fillId="0" borderId="48" xfId="11" applyNumberFormat="1" applyFont="1" applyFill="1" applyBorder="1" applyAlignment="1">
      <alignment horizontal="center" vertical="center"/>
    </xf>
    <xf numFmtId="164" fontId="11" fillId="0" borderId="21" xfId="11" applyNumberFormat="1" applyFont="1" applyFill="1" applyBorder="1" applyAlignment="1">
      <alignment horizontal="center" vertical="center" wrapText="1"/>
    </xf>
    <xf numFmtId="0" fontId="11" fillId="0" borderId="55" xfId="11" applyFont="1" applyFill="1" applyBorder="1" applyAlignment="1">
      <alignment horizontal="left"/>
    </xf>
    <xf numFmtId="164" fontId="11" fillId="0" borderId="55" xfId="11" applyNumberFormat="1" applyFont="1" applyFill="1" applyBorder="1" applyAlignment="1"/>
    <xf numFmtId="164" fontId="11" fillId="0" borderId="8" xfId="11" applyNumberFormat="1" applyFont="1" applyFill="1" applyBorder="1" applyAlignment="1"/>
    <xf numFmtId="164" fontId="11" fillId="0" borderId="30" xfId="11" applyNumberFormat="1" applyFont="1" applyFill="1" applyBorder="1" applyAlignment="1"/>
    <xf numFmtId="0" fontId="12" fillId="0" borderId="49" xfId="11" applyFont="1" applyFill="1" applyBorder="1" applyAlignment="1">
      <alignment horizontal="left" indent="1"/>
    </xf>
    <xf numFmtId="164" fontId="12" fillId="0" borderId="56" xfId="11" applyNumberFormat="1" applyFont="1" applyFill="1" applyBorder="1" applyAlignment="1"/>
    <xf numFmtId="0" fontId="12" fillId="0" borderId="22" xfId="11" applyFont="1" applyFill="1" applyBorder="1" applyAlignment="1">
      <alignment horizontal="left" indent="1"/>
    </xf>
    <xf numFmtId="0" fontId="12" fillId="0" borderId="57" xfId="11" applyFont="1" applyFill="1" applyBorder="1" applyAlignment="1">
      <alignment horizontal="left" indent="1"/>
    </xf>
    <xf numFmtId="164" fontId="12" fillId="0" borderId="57" xfId="11" applyNumberFormat="1" applyFont="1" applyFill="1" applyBorder="1" applyAlignment="1"/>
    <xf numFmtId="164" fontId="12" fillId="0" borderId="3" xfId="11" applyNumberFormat="1" applyFont="1" applyFill="1" applyBorder="1" applyAlignment="1"/>
    <xf numFmtId="164" fontId="11" fillId="0" borderId="47" xfId="11" applyNumberFormat="1" applyFont="1" applyFill="1" applyBorder="1" applyAlignment="1"/>
    <xf numFmtId="164" fontId="11" fillId="0" borderId="10" xfId="11" applyNumberFormat="1" applyFont="1" applyFill="1" applyBorder="1" applyAlignment="1"/>
    <xf numFmtId="164" fontId="11" fillId="0" borderId="9" xfId="11" applyNumberFormat="1" applyFont="1" applyFill="1" applyBorder="1" applyAlignment="1"/>
    <xf numFmtId="164" fontId="11" fillId="0" borderId="34" xfId="11" applyNumberFormat="1" applyFont="1" applyFill="1" applyBorder="1" applyAlignment="1"/>
    <xf numFmtId="0" fontId="12" fillId="0" borderId="55" xfId="11" applyFont="1" applyFill="1" applyBorder="1" applyAlignment="1">
      <alignment horizontal="left"/>
    </xf>
    <xf numFmtId="164" fontId="12" fillId="0" borderId="55" xfId="11" applyNumberFormat="1" applyFont="1" applyFill="1" applyBorder="1" applyAlignment="1"/>
    <xf numFmtId="164" fontId="12" fillId="0" borderId="16" xfId="11" applyNumberFormat="1" applyFont="1" applyFill="1" applyBorder="1" applyAlignment="1"/>
    <xf numFmtId="164" fontId="12" fillId="0" borderId="8" xfId="11" applyNumberFormat="1" applyFont="1" applyFill="1" applyBorder="1" applyAlignment="1"/>
    <xf numFmtId="0" fontId="11" fillId="0" borderId="47" xfId="11" applyFont="1" applyFill="1" applyBorder="1"/>
    <xf numFmtId="164" fontId="11" fillId="0" borderId="58" xfId="11" applyNumberFormat="1" applyFont="1" applyFill="1" applyBorder="1" applyAlignment="1"/>
    <xf numFmtId="4" fontId="12" fillId="0" borderId="48" xfId="11" applyNumberFormat="1" applyFont="1" applyFill="1" applyBorder="1" applyAlignment="1">
      <alignment horizontal="center" vertical="center"/>
    </xf>
    <xf numFmtId="4" fontId="11" fillId="0" borderId="21" xfId="11" applyNumberFormat="1" applyFont="1" applyFill="1" applyBorder="1" applyAlignment="1">
      <alignment horizontal="center" vertical="center" wrapText="1"/>
    </xf>
    <xf numFmtId="0" fontId="12" fillId="0" borderId="55" xfId="11" applyFont="1" applyFill="1" applyBorder="1" applyAlignment="1">
      <alignment horizontal="left" indent="1"/>
    </xf>
    <xf numFmtId="0" fontId="12" fillId="0" borderId="59" xfId="11" applyFont="1" applyFill="1" applyBorder="1" applyAlignment="1">
      <alignment horizontal="left" indent="1"/>
    </xf>
    <xf numFmtId="164" fontId="12" fillId="0" borderId="59" xfId="11" applyNumberFormat="1" applyFont="1" applyFill="1" applyBorder="1" applyAlignment="1"/>
    <xf numFmtId="164" fontId="12" fillId="0" borderId="14" xfId="11" applyNumberFormat="1" applyFont="1" applyFill="1" applyBorder="1" applyAlignment="1"/>
    <xf numFmtId="0" fontId="11" fillId="0" borderId="47" xfId="0" applyFont="1" applyFill="1" applyBorder="1"/>
    <xf numFmtId="166" fontId="11" fillId="0" borderId="34" xfId="0" applyNumberFormat="1" applyFont="1" applyFill="1" applyBorder="1"/>
    <xf numFmtId="166" fontId="11" fillId="0" borderId="10" xfId="0" applyNumberFormat="1" applyFont="1" applyFill="1" applyBorder="1"/>
    <xf numFmtId="3" fontId="12" fillId="0" borderId="68" xfId="11" applyNumberFormat="1" applyFont="1" applyBorder="1" applyAlignment="1">
      <alignment wrapText="1"/>
    </xf>
    <xf numFmtId="3" fontId="12" fillId="0" borderId="73" xfId="11" applyNumberFormat="1" applyFont="1" applyFill="1" applyBorder="1" applyAlignment="1">
      <alignment wrapText="1"/>
    </xf>
    <xf numFmtId="3" fontId="12" fillId="0" borderId="72" xfId="11" applyNumberFormat="1" applyFont="1" applyBorder="1" applyAlignment="1">
      <alignment wrapText="1"/>
    </xf>
    <xf numFmtId="3" fontId="12" fillId="0" borderId="61" xfId="33" applyNumberFormat="1" applyFont="1" applyFill="1" applyBorder="1" applyAlignment="1" applyProtection="1">
      <alignment vertical="center"/>
      <protection locked="0"/>
    </xf>
    <xf numFmtId="3" fontId="12" fillId="0" borderId="38" xfId="33" applyNumberFormat="1" applyFont="1" applyFill="1" applyBorder="1" applyAlignment="1" applyProtection="1">
      <alignment vertical="center"/>
      <protection locked="0"/>
    </xf>
    <xf numFmtId="3" fontId="12" fillId="0" borderId="63" xfId="33" applyNumberFormat="1" applyFont="1" applyFill="1" applyBorder="1" applyAlignment="1" applyProtection="1">
      <alignment vertical="center"/>
      <protection locked="0"/>
    </xf>
    <xf numFmtId="3" fontId="12" fillId="0" borderId="25" xfId="33" applyNumberFormat="1" applyFont="1" applyFill="1" applyBorder="1" applyAlignment="1" applyProtection="1">
      <alignment vertical="center"/>
      <protection locked="0"/>
    </xf>
    <xf numFmtId="3" fontId="12" fillId="0" borderId="14" xfId="33" applyNumberFormat="1" applyFont="1" applyFill="1" applyBorder="1" applyAlignment="1" applyProtection="1">
      <alignment vertical="center"/>
      <protection locked="0"/>
    </xf>
    <xf numFmtId="3" fontId="44" fillId="0" borderId="95" xfId="26" applyNumberFormat="1" applyFont="1" applyFill="1" applyBorder="1"/>
    <xf numFmtId="3" fontId="44" fillId="0" borderId="86" xfId="26" applyNumberFormat="1" applyFont="1" applyFill="1" applyBorder="1"/>
    <xf numFmtId="3" fontId="44" fillId="0" borderId="51" xfId="26" applyNumberFormat="1" applyFont="1" applyFill="1" applyBorder="1"/>
    <xf numFmtId="3" fontId="44" fillId="0" borderId="50" xfId="26" applyNumberFormat="1" applyFont="1" applyFill="1" applyBorder="1"/>
    <xf numFmtId="3" fontId="44" fillId="0" borderId="100" xfId="26" applyNumberFormat="1" applyFont="1" applyFill="1" applyBorder="1"/>
    <xf numFmtId="3" fontId="44" fillId="0" borderId="48" xfId="26" applyNumberFormat="1" applyFont="1" applyFill="1" applyBorder="1"/>
    <xf numFmtId="3" fontId="44" fillId="0" borderId="61" xfId="26" applyNumberFormat="1" applyFont="1" applyFill="1" applyBorder="1"/>
    <xf numFmtId="3" fontId="44" fillId="0" borderId="38" xfId="26" applyNumberFormat="1" applyFont="1" applyFill="1" applyBorder="1"/>
    <xf numFmtId="3" fontId="44" fillId="0" borderId="39" xfId="26" applyNumberFormat="1" applyFont="1" applyFill="1" applyBorder="1"/>
    <xf numFmtId="3" fontId="45" fillId="0" borderId="90" xfId="26" applyNumberFormat="1" applyFont="1" applyFill="1" applyBorder="1"/>
    <xf numFmtId="3" fontId="44" fillId="0" borderId="49" xfId="26" applyNumberFormat="1" applyFont="1" applyFill="1" applyBorder="1"/>
    <xf numFmtId="3" fontId="44" fillId="0" borderId="62" xfId="26" applyNumberFormat="1" applyFont="1" applyFill="1" applyBorder="1"/>
    <xf numFmtId="3" fontId="44" fillId="0" borderId="2" xfId="26" applyNumberFormat="1" applyFont="1" applyFill="1" applyBorder="1"/>
    <xf numFmtId="3" fontId="44" fillId="0" borderId="18" xfId="26" applyNumberFormat="1" applyFont="1" applyFill="1" applyBorder="1"/>
    <xf numFmtId="3" fontId="45" fillId="0" borderId="93" xfId="26" applyNumberFormat="1" applyFont="1" applyFill="1" applyBorder="1"/>
    <xf numFmtId="3" fontId="46" fillId="0" borderId="62" xfId="26" applyNumberFormat="1" applyFont="1" applyFill="1" applyBorder="1"/>
    <xf numFmtId="3" fontId="46" fillId="0" borderId="2" xfId="26" applyNumberFormat="1" applyFont="1" applyFill="1" applyBorder="1"/>
    <xf numFmtId="3" fontId="46" fillId="0" borderId="18" xfId="26" applyNumberFormat="1" applyFont="1" applyFill="1" applyBorder="1"/>
    <xf numFmtId="3" fontId="47" fillId="0" borderId="93" xfId="26" applyNumberFormat="1" applyFont="1" applyFill="1" applyBorder="1"/>
    <xf numFmtId="3" fontId="44" fillId="0" borderId="91" xfId="26" applyNumberFormat="1" applyFont="1" applyFill="1" applyBorder="1"/>
    <xf numFmtId="3" fontId="45" fillId="0" borderId="98" xfId="26" applyNumberFormat="1" applyFont="1" applyFill="1" applyBorder="1"/>
    <xf numFmtId="3" fontId="45" fillId="0" borderId="28" xfId="26" applyNumberFormat="1" applyFont="1" applyFill="1" applyBorder="1"/>
    <xf numFmtId="3" fontId="45" fillId="0" borderId="29" xfId="26" applyNumberFormat="1" applyFont="1" applyFill="1" applyBorder="1"/>
    <xf numFmtId="3" fontId="45" fillId="0" borderId="92" xfId="26" applyNumberFormat="1" applyFont="1" applyFill="1" applyBorder="1"/>
    <xf numFmtId="0" fontId="12" fillId="0" borderId="0" xfId="26" applyFont="1" applyFill="1"/>
    <xf numFmtId="3" fontId="17" fillId="0" borderId="59" xfId="0" applyNumberFormat="1" applyFont="1" applyFill="1" applyBorder="1"/>
    <xf numFmtId="3" fontId="16" fillId="0" borderId="59" xfId="0" applyNumberFormat="1" applyFont="1" applyFill="1" applyBorder="1"/>
    <xf numFmtId="3" fontId="18" fillId="0" borderId="48" xfId="0" applyNumberFormat="1" applyFont="1" applyFill="1" applyBorder="1"/>
    <xf numFmtId="164" fontId="15" fillId="0" borderId="48" xfId="0" applyNumberFormat="1" applyFont="1" applyFill="1" applyBorder="1"/>
    <xf numFmtId="164" fontId="17" fillId="0" borderId="59" xfId="0" applyNumberFormat="1" applyFont="1" applyFill="1" applyBorder="1"/>
    <xf numFmtId="164" fontId="15" fillId="0" borderId="59" xfId="0" applyNumberFormat="1" applyFont="1" applyFill="1" applyBorder="1"/>
    <xf numFmtId="164" fontId="15" fillId="0" borderId="47" xfId="0" applyNumberFormat="1" applyFont="1" applyFill="1" applyBorder="1"/>
    <xf numFmtId="0" fontId="6" fillId="0" borderId="0" xfId="11" applyFont="1" applyFill="1"/>
    <xf numFmtId="3" fontId="15" fillId="0" borderId="47" xfId="0" applyNumberFormat="1" applyFont="1" applyFill="1" applyBorder="1" applyAlignment="1">
      <alignment horizontal="center" vertical="center" wrapText="1"/>
    </xf>
    <xf numFmtId="49" fontId="15" fillId="0" borderId="41" xfId="0" applyNumberFormat="1" applyFont="1" applyFill="1" applyBorder="1" applyAlignment="1">
      <alignment horizontal="center"/>
    </xf>
    <xf numFmtId="3" fontId="15" fillId="0" borderId="9" xfId="0" applyNumberFormat="1" applyFont="1" applyFill="1" applyBorder="1" applyAlignment="1">
      <alignment horizontal="center"/>
    </xf>
    <xf numFmtId="3" fontId="15" fillId="0" borderId="95" xfId="0" applyNumberFormat="1" applyFont="1" applyFill="1" applyBorder="1"/>
    <xf numFmtId="3" fontId="15" fillId="0" borderId="50" xfId="0" applyNumberFormat="1" applyFont="1" applyFill="1" applyBorder="1"/>
    <xf numFmtId="3" fontId="15" fillId="0" borderId="47" xfId="0" applyNumberFormat="1" applyFont="1" applyFill="1" applyBorder="1"/>
    <xf numFmtId="3" fontId="16" fillId="0" borderId="55" xfId="0" applyNumberFormat="1" applyFont="1" applyFill="1" applyBorder="1"/>
    <xf numFmtId="3" fontId="17" fillId="0" borderId="49" xfId="0" applyNumberFormat="1" applyFont="1" applyFill="1" applyBorder="1"/>
    <xf numFmtId="3" fontId="16" fillId="0" borderId="49" xfId="0" applyNumberFormat="1" applyFont="1" applyFill="1" applyBorder="1"/>
    <xf numFmtId="3" fontId="16" fillId="0" borderId="48" xfId="0" applyNumberFormat="1" applyFont="1" applyFill="1" applyBorder="1"/>
    <xf numFmtId="3" fontId="15" fillId="0" borderId="91" xfId="0" applyNumberFormat="1" applyFont="1" applyFill="1" applyBorder="1"/>
    <xf numFmtId="3" fontId="17" fillId="0" borderId="0" xfId="0" applyNumberFormat="1" applyFont="1" applyFill="1" applyBorder="1" applyAlignment="1">
      <alignment horizontal="center"/>
    </xf>
    <xf numFmtId="3" fontId="17" fillId="0" borderId="0" xfId="0" applyNumberFormat="1" applyFont="1" applyFill="1" applyBorder="1"/>
    <xf numFmtId="3" fontId="18" fillId="0" borderId="0" xfId="0" applyNumberFormat="1" applyFont="1" applyFill="1" applyBorder="1" applyAlignment="1">
      <alignment horizontal="center"/>
    </xf>
    <xf numFmtId="3" fontId="18" fillId="0" borderId="0" xfId="0" applyNumberFormat="1" applyFont="1" applyFill="1" applyBorder="1"/>
    <xf numFmtId="3" fontId="16" fillId="0" borderId="53" xfId="0" applyNumberFormat="1" applyFont="1" applyFill="1" applyBorder="1"/>
    <xf numFmtId="3" fontId="17" fillId="0" borderId="53" xfId="0" applyNumberFormat="1" applyFont="1" applyFill="1" applyBorder="1"/>
    <xf numFmtId="3" fontId="12" fillId="0" borderId="60" xfId="11" applyNumberFormat="1" applyFont="1" applyFill="1" applyBorder="1" applyAlignment="1">
      <alignment vertical="center" wrapText="1"/>
    </xf>
    <xf numFmtId="3" fontId="12" fillId="0" borderId="16" xfId="11" applyNumberFormat="1" applyFont="1" applyFill="1" applyBorder="1" applyAlignment="1">
      <alignment vertical="center" wrapText="1"/>
    </xf>
    <xf numFmtId="3" fontId="12" fillId="0" borderId="62" xfId="11" applyNumberFormat="1" applyFont="1" applyFill="1" applyBorder="1" applyAlignment="1">
      <alignment vertical="center" wrapText="1"/>
    </xf>
    <xf numFmtId="3" fontId="12" fillId="0" borderId="2" xfId="11" applyNumberFormat="1" applyFont="1" applyFill="1" applyBorder="1" applyAlignment="1">
      <alignment vertical="center" wrapText="1"/>
    </xf>
    <xf numFmtId="3" fontId="12" fillId="0" borderId="61" xfId="11" applyNumberFormat="1" applyFont="1" applyFill="1" applyBorder="1" applyAlignment="1">
      <alignment vertical="center" wrapText="1"/>
    </xf>
    <xf numFmtId="3" fontId="12" fillId="0" borderId="38" xfId="11" applyNumberFormat="1" applyFont="1" applyFill="1" applyBorder="1" applyAlignment="1">
      <alignment vertical="center" wrapText="1"/>
    </xf>
    <xf numFmtId="3" fontId="12" fillId="0" borderId="2" xfId="11" applyNumberFormat="1" applyFont="1" applyFill="1" applyBorder="1" applyAlignment="1">
      <alignment wrapText="1"/>
    </xf>
    <xf numFmtId="3" fontId="12" fillId="0" borderId="25" xfId="11" applyNumberFormat="1" applyFont="1" applyFill="1" applyBorder="1" applyAlignment="1">
      <alignment vertical="center" wrapText="1"/>
    </xf>
    <xf numFmtId="3" fontId="12" fillId="0" borderId="62" xfId="11" applyNumberFormat="1" applyFont="1" applyFill="1" applyBorder="1" applyAlignment="1">
      <alignment wrapText="1"/>
    </xf>
    <xf numFmtId="3" fontId="12" fillId="0" borderId="63" xfId="11" applyNumberFormat="1" applyFont="1" applyFill="1" applyBorder="1" applyAlignment="1">
      <alignment vertical="center" wrapText="1"/>
    </xf>
    <xf numFmtId="0" fontId="12" fillId="0" borderId="55" xfId="11" applyNumberFormat="1" applyFont="1" applyFill="1" applyBorder="1" applyAlignment="1">
      <alignment horizontal="center" vertical="center" wrapText="1"/>
    </xf>
    <xf numFmtId="0" fontId="12" fillId="0" borderId="54" xfId="11" applyNumberFormat="1" applyFont="1" applyFill="1" applyBorder="1" applyAlignment="1">
      <alignment horizontal="center" vertical="center" wrapText="1"/>
    </xf>
    <xf numFmtId="0" fontId="12" fillId="0" borderId="60" xfId="11" applyNumberFormat="1" applyFont="1" applyFill="1" applyBorder="1" applyAlignment="1">
      <alignment horizontal="center" vertical="center" wrapText="1"/>
    </xf>
    <xf numFmtId="0" fontId="12" fillId="0" borderId="55" xfId="11" applyNumberFormat="1" applyFont="1" applyFill="1" applyBorder="1" applyAlignment="1">
      <alignment horizontal="center"/>
    </xf>
    <xf numFmtId="0" fontId="12" fillId="0" borderId="49" xfId="11" applyNumberFormat="1" applyFont="1" applyFill="1" applyBorder="1" applyAlignment="1">
      <alignment horizontal="center"/>
    </xf>
    <xf numFmtId="0" fontId="12" fillId="0" borderId="62" xfId="11" applyNumberFormat="1" applyFont="1" applyFill="1" applyBorder="1" applyAlignment="1">
      <alignment horizontal="center" vertical="center" wrapText="1"/>
    </xf>
    <xf numFmtId="0" fontId="12" fillId="0" borderId="63" xfId="11" applyNumberFormat="1" applyFont="1" applyFill="1" applyBorder="1" applyAlignment="1">
      <alignment horizontal="center" vertical="center" wrapText="1"/>
    </xf>
    <xf numFmtId="0" fontId="12" fillId="0" borderId="59" xfId="11" applyNumberFormat="1" applyFont="1" applyFill="1" applyBorder="1" applyAlignment="1">
      <alignment horizontal="center"/>
    </xf>
    <xf numFmtId="0" fontId="12" fillId="0" borderId="49" xfId="11" applyNumberFormat="1" applyFont="1" applyFill="1" applyBorder="1" applyAlignment="1">
      <alignment horizontal="center" vertical="center" wrapText="1"/>
    </xf>
    <xf numFmtId="0" fontId="12" fillId="0" borderId="17" xfId="11" applyFont="1" applyFill="1" applyBorder="1" applyAlignment="1"/>
    <xf numFmtId="0" fontId="12" fillId="0" borderId="18" xfId="11" applyFont="1" applyFill="1" applyBorder="1" applyAlignment="1">
      <alignment horizontal="justify"/>
    </xf>
    <xf numFmtId="0" fontId="12" fillId="0" borderId="18" xfId="11" applyFont="1" applyFill="1" applyBorder="1"/>
    <xf numFmtId="0" fontId="12" fillId="0" borderId="2" xfId="11" applyFont="1" applyFill="1" applyBorder="1" applyAlignment="1">
      <alignment horizontal="justify"/>
    </xf>
    <xf numFmtId="0" fontId="12" fillId="0" borderId="61" xfId="11" applyNumberFormat="1" applyFont="1" applyFill="1" applyBorder="1" applyAlignment="1">
      <alignment horizontal="center" vertical="center" wrapText="1"/>
    </xf>
    <xf numFmtId="0" fontId="12" fillId="0" borderId="48" xfId="11" applyNumberFormat="1" applyFont="1" applyFill="1" applyBorder="1" applyAlignment="1">
      <alignment horizontal="center"/>
    </xf>
    <xf numFmtId="0" fontId="12" fillId="0" borderId="38" xfId="11" applyFont="1" applyFill="1" applyBorder="1"/>
    <xf numFmtId="0" fontId="12" fillId="0" borderId="17" xfId="11" applyFont="1" applyFill="1" applyBorder="1"/>
    <xf numFmtId="0" fontId="12" fillId="0" borderId="31" xfId="11" applyFont="1" applyFill="1" applyBorder="1" applyAlignment="1">
      <alignment horizontal="justify"/>
    </xf>
    <xf numFmtId="0" fontId="12" fillId="0" borderId="32" xfId="11" applyFont="1" applyFill="1" applyBorder="1"/>
    <xf numFmtId="0" fontId="12" fillId="0" borderId="39" xfId="11" applyFont="1" applyFill="1" applyBorder="1"/>
    <xf numFmtId="3" fontId="12" fillId="0" borderId="0" xfId="11" applyNumberFormat="1" applyFont="1" applyFill="1" applyBorder="1" applyAlignment="1">
      <alignment wrapText="1"/>
    </xf>
    <xf numFmtId="3" fontId="11" fillId="0" borderId="58" xfId="11" applyNumberFormat="1" applyFont="1" applyBorder="1" applyAlignment="1">
      <alignment horizontal="center" vertical="center" wrapText="1"/>
    </xf>
    <xf numFmtId="3" fontId="12" fillId="0" borderId="8" xfId="11" applyNumberFormat="1" applyFont="1" applyBorder="1"/>
    <xf numFmtId="3" fontId="12" fillId="0" borderId="56" xfId="11" applyNumberFormat="1" applyFont="1" applyBorder="1"/>
    <xf numFmtId="3" fontId="6" fillId="0" borderId="56" xfId="11" applyNumberFormat="1" applyFont="1" applyBorder="1"/>
    <xf numFmtId="3" fontId="12" fillId="0" borderId="54" xfId="11" applyNumberFormat="1" applyFont="1" applyBorder="1"/>
    <xf numFmtId="3" fontId="12" fillId="0" borderId="14" xfId="11" applyNumberFormat="1" applyFont="1" applyBorder="1"/>
    <xf numFmtId="3" fontId="12" fillId="0" borderId="3" xfId="11" applyNumberFormat="1" applyFont="1" applyBorder="1"/>
    <xf numFmtId="3" fontId="12" fillId="0" borderId="58" xfId="11" applyNumberFormat="1" applyFont="1" applyBorder="1"/>
    <xf numFmtId="3" fontId="11" fillId="0" borderId="87" xfId="11" applyNumberFormat="1" applyFont="1" applyBorder="1"/>
    <xf numFmtId="3" fontId="11" fillId="0" borderId="87" xfId="11" applyNumberFormat="1" applyFont="1" applyFill="1" applyBorder="1"/>
    <xf numFmtId="3" fontId="11" fillId="2" borderId="87" xfId="11" applyNumberFormat="1" applyFont="1" applyFill="1" applyBorder="1"/>
    <xf numFmtId="3" fontId="11" fillId="2" borderId="14" xfId="11" applyNumberFormat="1" applyFont="1" applyFill="1" applyBorder="1"/>
    <xf numFmtId="3" fontId="21" fillId="0" borderId="0" xfId="11" applyNumberFormat="1" applyFont="1"/>
    <xf numFmtId="0" fontId="38" fillId="0" borderId="0" xfId="11" applyFont="1" applyBorder="1" applyAlignment="1">
      <alignment horizontal="center" vertical="center" wrapText="1"/>
    </xf>
    <xf numFmtId="0" fontId="38" fillId="0" borderId="0" xfId="11" applyFont="1" applyBorder="1" applyAlignment="1">
      <alignment vertical="center" wrapText="1"/>
    </xf>
    <xf numFmtId="0" fontId="37" fillId="0" borderId="0" xfId="11" applyFont="1" applyBorder="1" applyAlignment="1">
      <alignment vertical="center"/>
    </xf>
    <xf numFmtId="0" fontId="57" fillId="0" borderId="0" xfId="11" applyFont="1" applyBorder="1" applyAlignment="1">
      <alignment horizontal="right" vertical="center"/>
    </xf>
    <xf numFmtId="0" fontId="37" fillId="0" borderId="39" xfId="11" applyFont="1" applyBorder="1" applyAlignment="1"/>
    <xf numFmtId="3" fontId="37" fillId="0" borderId="32" xfId="11" applyNumberFormat="1" applyFont="1" applyBorder="1" applyAlignment="1"/>
    <xf numFmtId="3" fontId="15" fillId="0" borderId="2" xfId="11" applyNumberFormat="1" applyFont="1" applyFill="1" applyBorder="1" applyAlignment="1">
      <alignment vertical="top" wrapText="1"/>
    </xf>
    <xf numFmtId="3" fontId="16" fillId="0" borderId="2" xfId="11" applyNumberFormat="1" applyFont="1" applyBorder="1" applyAlignment="1">
      <alignment vertical="top" wrapText="1"/>
    </xf>
    <xf numFmtId="3" fontId="16" fillId="0" borderId="2" xfId="11" applyNumberFormat="1" applyFont="1" applyBorder="1" applyAlignment="1">
      <alignment vertical="top"/>
    </xf>
    <xf numFmtId="3" fontId="16" fillId="0" borderId="2" xfId="11" applyNumberFormat="1" applyFont="1" applyFill="1" applyBorder="1" applyAlignment="1">
      <alignment vertical="top"/>
    </xf>
    <xf numFmtId="3" fontId="15" fillId="0" borderId="11" xfId="0" applyNumberFormat="1" applyFont="1" applyBorder="1" applyAlignment="1">
      <alignment horizontal="center" vertical="center" wrapText="1"/>
    </xf>
    <xf numFmtId="3" fontId="15" fillId="0" borderId="86" xfId="0" applyNumberFormat="1" applyFont="1" applyBorder="1"/>
    <xf numFmtId="3" fontId="15" fillId="0" borderId="11" xfId="0" applyNumberFormat="1" applyFont="1" applyBorder="1"/>
    <xf numFmtId="3" fontId="16" fillId="0" borderId="60" xfId="0" applyNumberFormat="1" applyFont="1" applyBorder="1"/>
    <xf numFmtId="3" fontId="17" fillId="0" borderId="62" xfId="0" applyNumberFormat="1" applyFont="1" applyBorder="1"/>
    <xf numFmtId="3" fontId="16" fillId="0" borderId="62" xfId="0" applyNumberFormat="1" applyFont="1" applyBorder="1"/>
    <xf numFmtId="3" fontId="16" fillId="0" borderId="63" xfId="0" applyNumberFormat="1" applyFont="1" applyBorder="1"/>
    <xf numFmtId="3" fontId="17" fillId="0" borderId="63" xfId="0" applyNumberFormat="1" applyFont="1" applyBorder="1"/>
    <xf numFmtId="3" fontId="15" fillId="0" borderId="98" xfId="0" applyNumberFormat="1" applyFont="1" applyBorder="1"/>
    <xf numFmtId="3" fontId="18" fillId="0" borderId="61" xfId="0" applyNumberFormat="1" applyFont="1" applyBorder="1"/>
    <xf numFmtId="3" fontId="16" fillId="0" borderId="89" xfId="0" applyNumberFormat="1" applyFont="1" applyBorder="1"/>
    <xf numFmtId="3" fontId="17" fillId="0" borderId="89" xfId="0" applyNumberFormat="1" applyFont="1" applyBorder="1"/>
    <xf numFmtId="164" fontId="15" fillId="0" borderId="61" xfId="0" applyNumberFormat="1" applyFont="1" applyBorder="1"/>
    <xf numFmtId="164" fontId="17" fillId="0" borderId="63" xfId="0" applyNumberFormat="1" applyFont="1" applyBorder="1"/>
    <xf numFmtId="164" fontId="15" fillId="0" borderId="63" xfId="0" applyNumberFormat="1" applyFont="1" applyBorder="1"/>
    <xf numFmtId="164" fontId="15" fillId="0" borderId="11" xfId="0" applyNumberFormat="1" applyFont="1" applyBorder="1"/>
    <xf numFmtId="3" fontId="16" fillId="0" borderId="60" xfId="0" applyNumberFormat="1" applyFont="1" applyFill="1" applyBorder="1"/>
    <xf numFmtId="3" fontId="15" fillId="0" borderId="85" xfId="0" applyNumberFormat="1" applyFont="1" applyFill="1" applyBorder="1"/>
    <xf numFmtId="3" fontId="15" fillId="0" borderId="58" xfId="0" applyNumberFormat="1" applyFont="1" applyFill="1" applyBorder="1"/>
    <xf numFmtId="3" fontId="16" fillId="0" borderId="8" xfId="0" applyNumberFormat="1" applyFont="1" applyFill="1" applyBorder="1"/>
    <xf numFmtId="3" fontId="17" fillId="0" borderId="56" xfId="0" applyNumberFormat="1" applyFont="1" applyFill="1" applyBorder="1"/>
    <xf numFmtId="3" fontId="16" fillId="0" borderId="56" xfId="0" applyNumberFormat="1" applyFont="1" applyFill="1" applyBorder="1"/>
    <xf numFmtId="3" fontId="16" fillId="0" borderId="14" xfId="0" applyNumberFormat="1" applyFont="1" applyFill="1" applyBorder="1"/>
    <xf numFmtId="3" fontId="17" fillId="0" borderId="14" xfId="0" applyNumberFormat="1" applyFont="1" applyFill="1" applyBorder="1"/>
    <xf numFmtId="3" fontId="15" fillId="0" borderId="87" xfId="0" applyNumberFormat="1" applyFont="1" applyFill="1" applyBorder="1"/>
    <xf numFmtId="3" fontId="18" fillId="0" borderId="54" xfId="0" applyNumberFormat="1" applyFont="1" applyFill="1" applyBorder="1"/>
    <xf numFmtId="3" fontId="16" fillId="0" borderId="99" xfId="0" applyNumberFormat="1" applyFont="1" applyFill="1" applyBorder="1"/>
    <xf numFmtId="3" fontId="17" fillId="0" borderId="99" xfId="0" applyNumberFormat="1" applyFont="1" applyFill="1" applyBorder="1"/>
    <xf numFmtId="164" fontId="15" fillId="0" borderId="54" xfId="0" applyNumberFormat="1" applyFont="1" applyFill="1" applyBorder="1"/>
    <xf numFmtId="164" fontId="17" fillId="0" borderId="14" xfId="0" applyNumberFormat="1" applyFont="1" applyFill="1" applyBorder="1"/>
    <xf numFmtId="164" fontId="15" fillId="0" borderId="14" xfId="0" applyNumberFormat="1" applyFont="1" applyFill="1" applyBorder="1"/>
    <xf numFmtId="164" fontId="15" fillId="0" borderId="58" xfId="0" applyNumberFormat="1" applyFont="1" applyFill="1" applyBorder="1"/>
    <xf numFmtId="3" fontId="15" fillId="0" borderId="95" xfId="0" applyNumberFormat="1" applyFont="1" applyBorder="1"/>
    <xf numFmtId="3" fontId="15" fillId="0" borderId="47" xfId="0" applyNumberFormat="1" applyFont="1" applyBorder="1"/>
    <xf numFmtId="3" fontId="16" fillId="0" borderId="55" xfId="0" applyNumberFormat="1" applyFont="1" applyBorder="1"/>
    <xf numFmtId="3" fontId="17" fillId="0" borderId="49" xfId="0" applyNumberFormat="1" applyFont="1" applyBorder="1"/>
    <xf numFmtId="3" fontId="16" fillId="0" borderId="49" xfId="0" applyNumberFormat="1" applyFont="1" applyBorder="1"/>
    <xf numFmtId="3" fontId="16" fillId="0" borderId="59" xfId="0" applyNumberFormat="1" applyFont="1" applyBorder="1"/>
    <xf numFmtId="3" fontId="17" fillId="0" borderId="59" xfId="0" applyNumberFormat="1" applyFont="1" applyBorder="1"/>
    <xf numFmtId="3" fontId="17" fillId="2" borderId="49" xfId="0" applyNumberFormat="1" applyFont="1" applyFill="1" applyBorder="1"/>
    <xf numFmtId="3" fontId="15" fillId="0" borderId="91" xfId="0" applyNumberFormat="1" applyFont="1" applyBorder="1"/>
    <xf numFmtId="3" fontId="15" fillId="0" borderId="85" xfId="0" applyNumberFormat="1" applyFont="1" applyBorder="1"/>
    <xf numFmtId="3" fontId="15" fillId="0" borderId="58" xfId="0" applyNumberFormat="1" applyFont="1" applyBorder="1"/>
    <xf numFmtId="3" fontId="16" fillId="0" borderId="8" xfId="0" applyNumberFormat="1" applyFont="1" applyBorder="1"/>
    <xf numFmtId="3" fontId="17" fillId="0" borderId="56" xfId="0" applyNumberFormat="1" applyFont="1" applyBorder="1"/>
    <xf numFmtId="3" fontId="16" fillId="0" borderId="56" xfId="0" applyNumberFormat="1" applyFont="1" applyBorder="1"/>
    <xf numFmtId="3" fontId="16" fillId="0" borderId="14" xfId="0" applyNumberFormat="1" applyFont="1" applyBorder="1"/>
    <xf numFmtId="3" fontId="17" fillId="0" borderId="14" xfId="0" applyNumberFormat="1" applyFont="1" applyBorder="1"/>
    <xf numFmtId="3" fontId="17" fillId="2" borderId="56" xfId="0" applyNumberFormat="1" applyFont="1" applyFill="1" applyBorder="1"/>
    <xf numFmtId="3" fontId="15" fillId="0" borderId="87" xfId="0" applyNumberFormat="1" applyFont="1" applyBorder="1"/>
    <xf numFmtId="3" fontId="18" fillId="0" borderId="48" xfId="0" applyNumberFormat="1" applyFont="1" applyBorder="1"/>
    <xf numFmtId="3" fontId="18" fillId="0" borderId="54" xfId="0" applyNumberFormat="1" applyFont="1" applyBorder="1"/>
    <xf numFmtId="3" fontId="16" fillId="0" borderId="53" xfId="0" applyNumberFormat="1" applyFont="1" applyBorder="1"/>
    <xf numFmtId="3" fontId="16" fillId="0" borderId="99" xfId="0" applyNumberFormat="1" applyFont="1" applyBorder="1"/>
    <xf numFmtId="3" fontId="17" fillId="0" borderId="53" xfId="0" applyNumberFormat="1" applyFont="1" applyBorder="1"/>
    <xf numFmtId="3" fontId="17" fillId="0" borderId="99" xfId="0" applyNumberFormat="1" applyFont="1" applyBorder="1"/>
    <xf numFmtId="164" fontId="15" fillId="0" borderId="48" xfId="0" applyNumberFormat="1" applyFont="1" applyBorder="1"/>
    <xf numFmtId="164" fontId="17" fillId="0" borderId="59" xfId="0" applyNumberFormat="1" applyFont="1" applyBorder="1"/>
    <xf numFmtId="164" fontId="15" fillId="0" borderId="59" xfId="0" applyNumberFormat="1" applyFont="1" applyBorder="1"/>
    <xf numFmtId="164" fontId="15" fillId="0" borderId="47" xfId="0" applyNumberFormat="1" applyFont="1" applyBorder="1"/>
    <xf numFmtId="164" fontId="15" fillId="0" borderId="54" xfId="0" applyNumberFormat="1" applyFont="1" applyBorder="1"/>
    <xf numFmtId="164" fontId="17" fillId="0" borderId="14" xfId="0" applyNumberFormat="1" applyFont="1" applyBorder="1"/>
    <xf numFmtId="164" fontId="15" fillId="0" borderId="14" xfId="0" applyNumberFormat="1" applyFont="1" applyBorder="1"/>
    <xf numFmtId="164" fontId="15" fillId="0" borderId="58" xfId="0" applyNumberFormat="1" applyFont="1" applyBorder="1"/>
    <xf numFmtId="3" fontId="16" fillId="0" borderId="48" xfId="0" applyNumberFormat="1" applyFont="1" applyBorder="1"/>
    <xf numFmtId="3" fontId="15" fillId="0" borderId="47" xfId="0" applyNumberFormat="1" applyFont="1" applyBorder="1" applyAlignment="1">
      <alignment horizontal="right"/>
    </xf>
    <xf numFmtId="3" fontId="16" fillId="0" borderId="54" xfId="0" applyNumberFormat="1" applyFont="1" applyBorder="1"/>
    <xf numFmtId="3" fontId="15" fillId="0" borderId="58" xfId="0" applyNumberFormat="1" applyFont="1" applyBorder="1" applyAlignment="1">
      <alignment horizontal="right"/>
    </xf>
    <xf numFmtId="164" fontId="11" fillId="0" borderId="39" xfId="11" applyNumberFormat="1" applyFont="1" applyFill="1" applyBorder="1" applyAlignment="1"/>
    <xf numFmtId="164" fontId="12" fillId="0" borderId="54" xfId="11" applyNumberFormat="1" applyFont="1" applyFill="1" applyBorder="1" applyAlignment="1">
      <alignment horizontal="center" vertical="center"/>
    </xf>
    <xf numFmtId="4" fontId="12" fillId="0" borderId="54" xfId="11" applyNumberFormat="1" applyFont="1" applyFill="1" applyBorder="1" applyAlignment="1">
      <alignment horizontal="center" vertical="center"/>
    </xf>
    <xf numFmtId="166" fontId="11" fillId="0" borderId="47" xfId="0" applyNumberFormat="1" applyFont="1" applyFill="1" applyBorder="1"/>
    <xf numFmtId="166" fontId="11" fillId="0" borderId="58" xfId="0" applyNumberFormat="1" applyFont="1" applyFill="1" applyBorder="1"/>
    <xf numFmtId="3" fontId="12" fillId="0" borderId="61" xfId="11" applyNumberFormat="1" applyFont="1" applyFill="1" applyBorder="1" applyAlignment="1" applyProtection="1">
      <alignment vertical="center"/>
      <protection locked="0"/>
    </xf>
    <xf numFmtId="3" fontId="12" fillId="0" borderId="38" xfId="11" applyNumberFormat="1" applyFont="1" applyFill="1" applyBorder="1" applyAlignment="1" applyProtection="1">
      <alignment vertical="center"/>
      <protection locked="0"/>
    </xf>
    <xf numFmtId="3" fontId="21" fillId="0" borderId="62" xfId="11" applyNumberFormat="1" applyFont="1" applyFill="1" applyBorder="1" applyAlignment="1" applyProtection="1">
      <alignment vertical="center"/>
      <protection locked="0"/>
    </xf>
    <xf numFmtId="3" fontId="21" fillId="0" borderId="2" xfId="11" applyNumberFormat="1" applyFont="1" applyFill="1" applyBorder="1" applyAlignment="1" applyProtection="1">
      <alignment vertical="center"/>
      <protection locked="0"/>
    </xf>
    <xf numFmtId="3" fontId="12" fillId="0" borderId="2" xfId="11" applyNumberFormat="1" applyFont="1" applyFill="1" applyBorder="1" applyAlignment="1" applyProtection="1">
      <alignment vertical="center"/>
      <protection locked="0"/>
    </xf>
    <xf numFmtId="3" fontId="12" fillId="0" borderId="18" xfId="11" applyNumberFormat="1" applyFont="1" applyFill="1" applyBorder="1" applyAlignment="1" applyProtection="1">
      <alignment vertical="center"/>
      <protection locked="0"/>
    </xf>
    <xf numFmtId="3" fontId="11" fillId="0" borderId="10" xfId="11" applyNumberFormat="1" applyFont="1" applyFill="1" applyBorder="1" applyAlignment="1">
      <alignment vertical="center"/>
    </xf>
    <xf numFmtId="3" fontId="12" fillId="0" borderId="25" xfId="11" applyNumberFormat="1" applyFont="1" applyFill="1" applyBorder="1" applyAlignment="1" applyProtection="1">
      <alignment vertical="center"/>
      <protection locked="0"/>
    </xf>
    <xf numFmtId="3" fontId="12" fillId="0" borderId="60" xfId="11" applyNumberFormat="1" applyFont="1" applyFill="1" applyBorder="1" applyAlignment="1">
      <alignment vertical="center"/>
    </xf>
    <xf numFmtId="3" fontId="12" fillId="0" borderId="16" xfId="11" applyNumberFormat="1" applyFont="1" applyFill="1" applyBorder="1" applyAlignment="1">
      <alignment vertical="center"/>
    </xf>
    <xf numFmtId="3" fontId="12" fillId="0" borderId="102" xfId="11" applyNumberFormat="1" applyFont="1" applyBorder="1" applyAlignment="1">
      <alignment wrapText="1"/>
    </xf>
    <xf numFmtId="3" fontId="12" fillId="0" borderId="103" xfId="11" applyNumberFormat="1" applyFont="1" applyBorder="1" applyAlignment="1">
      <alignment wrapText="1"/>
    </xf>
    <xf numFmtId="3" fontId="12" fillId="0" borderId="103" xfId="11" applyNumberFormat="1" applyFont="1" applyFill="1" applyBorder="1" applyAlignment="1">
      <alignment wrapText="1"/>
    </xf>
    <xf numFmtId="3" fontId="12" fillId="0" borderId="104" xfId="11" applyNumberFormat="1" applyFont="1" applyBorder="1" applyAlignment="1">
      <alignment wrapText="1"/>
    </xf>
    <xf numFmtId="3" fontId="11" fillId="0" borderId="47" xfId="11" applyNumberFormat="1" applyFont="1" applyBorder="1" applyAlignment="1">
      <alignment wrapText="1"/>
    </xf>
    <xf numFmtId="3" fontId="11" fillId="0" borderId="91" xfId="11" applyNumberFormat="1" applyFont="1" applyBorder="1" applyAlignment="1">
      <alignment wrapText="1"/>
    </xf>
    <xf numFmtId="3" fontId="12" fillId="0" borderId="108" xfId="11" applyNumberFormat="1" applyFont="1" applyBorder="1" applyAlignment="1">
      <alignment wrapText="1"/>
    </xf>
    <xf numFmtId="3" fontId="12" fillId="0" borderId="109" xfId="11" applyNumberFormat="1" applyFont="1" applyBorder="1" applyAlignment="1">
      <alignment wrapText="1"/>
    </xf>
    <xf numFmtId="3" fontId="12" fillId="0" borderId="109" xfId="11" applyNumberFormat="1" applyFont="1" applyFill="1" applyBorder="1" applyAlignment="1">
      <alignment wrapText="1"/>
    </xf>
    <xf numFmtId="3" fontId="12" fillId="0" borderId="110" xfId="11" applyNumberFormat="1" applyFont="1" applyBorder="1" applyAlignment="1">
      <alignment wrapText="1"/>
    </xf>
    <xf numFmtId="3" fontId="12" fillId="0" borderId="111" xfId="11" applyNumberFormat="1" applyFont="1" applyBorder="1" applyAlignment="1">
      <alignment wrapText="1"/>
    </xf>
    <xf numFmtId="3" fontId="11" fillId="0" borderId="28" xfId="11" applyNumberFormat="1" applyFont="1" applyBorder="1" applyAlignment="1">
      <alignment wrapText="1"/>
    </xf>
    <xf numFmtId="167" fontId="12" fillId="0" borderId="48" xfId="1" applyNumberFormat="1" applyFont="1" applyFill="1" applyBorder="1" applyProtection="1">
      <protection locked="0"/>
    </xf>
    <xf numFmtId="167" fontId="12" fillId="0" borderId="49" xfId="1" applyNumberFormat="1" applyFont="1" applyFill="1" applyBorder="1" applyProtection="1">
      <protection locked="0"/>
    </xf>
    <xf numFmtId="167" fontId="12" fillId="0" borderId="59" xfId="1" applyNumberFormat="1" applyFont="1" applyFill="1" applyBorder="1" applyProtection="1">
      <protection locked="0"/>
    </xf>
    <xf numFmtId="167" fontId="11" fillId="0" borderId="47" xfId="1" applyNumberFormat="1" applyFont="1" applyFill="1" applyBorder="1" applyProtection="1"/>
    <xf numFmtId="167" fontId="12" fillId="0" borderId="38" xfId="1" applyNumberFormat="1" applyFont="1" applyFill="1" applyBorder="1" applyProtection="1">
      <protection locked="0"/>
    </xf>
    <xf numFmtId="167" fontId="12" fillId="0" borderId="2" xfId="1" applyNumberFormat="1" applyFont="1" applyFill="1" applyBorder="1" applyProtection="1">
      <protection locked="0"/>
    </xf>
    <xf numFmtId="167" fontId="12" fillId="0" borderId="25" xfId="1" applyNumberFormat="1" applyFont="1" applyFill="1" applyBorder="1" applyProtection="1">
      <protection locked="0"/>
    </xf>
    <xf numFmtId="167" fontId="11" fillId="0" borderId="10" xfId="1" applyNumberFormat="1" applyFont="1" applyFill="1" applyBorder="1" applyProtection="1"/>
    <xf numFmtId="167" fontId="12" fillId="0" borderId="54" xfId="1" applyNumberFormat="1" applyFont="1" applyFill="1" applyBorder="1" applyProtection="1">
      <protection locked="0"/>
    </xf>
    <xf numFmtId="167" fontId="12" fillId="0" borderId="56" xfId="1" applyNumberFormat="1" applyFont="1" applyFill="1" applyBorder="1" applyProtection="1">
      <protection locked="0"/>
    </xf>
    <xf numFmtId="167" fontId="12" fillId="0" borderId="14" xfId="1" applyNumberFormat="1" applyFont="1" applyFill="1" applyBorder="1" applyProtection="1">
      <protection locked="0"/>
    </xf>
    <xf numFmtId="167" fontId="11" fillId="0" borderId="58" xfId="1" applyNumberFormat="1" applyFont="1" applyFill="1" applyBorder="1" applyProtection="1"/>
    <xf numFmtId="3" fontId="11" fillId="0" borderId="47" xfId="11" applyNumberFormat="1" applyFont="1" applyFill="1" applyBorder="1" applyAlignment="1">
      <alignment vertical="center"/>
    </xf>
    <xf numFmtId="3" fontId="12" fillId="0" borderId="49" xfId="11" applyNumberFormat="1" applyFont="1" applyFill="1" applyBorder="1" applyAlignment="1" applyProtection="1">
      <alignment vertical="center"/>
      <protection locked="0"/>
    </xf>
    <xf numFmtId="3" fontId="12" fillId="0" borderId="54" xfId="11" applyNumberFormat="1" applyFont="1" applyFill="1" applyBorder="1" applyAlignment="1" applyProtection="1">
      <alignment vertical="center" wrapText="1"/>
      <protection locked="0"/>
    </xf>
    <xf numFmtId="3" fontId="12" fillId="0" borderId="14" xfId="11" applyNumberFormat="1" applyFont="1" applyFill="1" applyBorder="1" applyAlignment="1" applyProtection="1">
      <alignment vertical="center" wrapText="1"/>
      <protection locked="0"/>
    </xf>
    <xf numFmtId="3" fontId="12" fillId="0" borderId="35" xfId="11" applyNumberFormat="1" applyFont="1" applyFill="1" applyBorder="1" applyAlignment="1" applyProtection="1">
      <alignment vertical="center" wrapText="1"/>
      <protection locked="0"/>
    </xf>
    <xf numFmtId="3" fontId="12" fillId="0" borderId="63" xfId="11" applyNumberFormat="1" applyFont="1" applyFill="1" applyBorder="1" applyAlignment="1">
      <alignment horizontal="center" vertical="center" wrapText="1"/>
    </xf>
    <xf numFmtId="1" fontId="12" fillId="0" borderId="25" xfId="11" applyNumberFormat="1" applyFont="1" applyFill="1" applyBorder="1" applyAlignment="1" applyProtection="1">
      <alignment horizontal="center" vertical="center" wrapText="1"/>
      <protection locked="0"/>
    </xf>
    <xf numFmtId="3" fontId="11" fillId="0" borderId="54" xfId="33" applyNumberFormat="1" applyFont="1" applyFill="1" applyBorder="1" applyAlignment="1" applyProtection="1">
      <alignment vertical="center"/>
      <protection locked="0"/>
    </xf>
    <xf numFmtId="3" fontId="11" fillId="0" borderId="8" xfId="33" applyNumberFormat="1" applyFont="1" applyFill="1" applyBorder="1" applyAlignment="1" applyProtection="1">
      <alignment vertical="center"/>
      <protection locked="0"/>
    </xf>
    <xf numFmtId="3" fontId="11" fillId="0" borderId="56" xfId="33" applyNumberFormat="1" applyFont="1" applyFill="1" applyBorder="1" applyAlignment="1" applyProtection="1">
      <alignment vertical="center"/>
      <protection locked="0"/>
    </xf>
    <xf numFmtId="3" fontId="11" fillId="0" borderId="14" xfId="33" applyNumberFormat="1" applyFont="1" applyFill="1" applyBorder="1" applyAlignment="1" applyProtection="1">
      <alignment vertical="center"/>
      <protection locked="0"/>
    </xf>
    <xf numFmtId="3" fontId="11" fillId="0" borderId="38" xfId="33" applyNumberFormat="1" applyFont="1" applyFill="1" applyBorder="1" applyAlignment="1" applyProtection="1">
      <alignment vertical="center"/>
      <protection locked="0"/>
    </xf>
    <xf numFmtId="3" fontId="11" fillId="0" borderId="2" xfId="33" applyNumberFormat="1" applyFont="1" applyFill="1" applyBorder="1" applyAlignment="1" applyProtection="1">
      <alignment vertical="center"/>
      <protection locked="0"/>
    </xf>
    <xf numFmtId="3" fontId="11" fillId="0" borderId="25" xfId="33" applyNumberFormat="1" applyFont="1" applyFill="1" applyBorder="1" applyAlignment="1" applyProtection="1">
      <alignment vertical="center"/>
      <protection locked="0"/>
    </xf>
    <xf numFmtId="3" fontId="15" fillId="0" borderId="41" xfId="0" applyNumberFormat="1" applyFont="1" applyFill="1" applyBorder="1"/>
    <xf numFmtId="3" fontId="16" fillId="0" borderId="7" xfId="0" applyNumberFormat="1" applyFont="1" applyFill="1" applyBorder="1"/>
    <xf numFmtId="3" fontId="17" fillId="0" borderId="42" xfId="0" applyNumberFormat="1" applyFont="1" applyFill="1" applyBorder="1"/>
    <xf numFmtId="3" fontId="16" fillId="0" borderId="42" xfId="0" applyNumberFormat="1" applyFont="1" applyFill="1" applyBorder="1"/>
    <xf numFmtId="3" fontId="16" fillId="0" borderId="5" xfId="0" applyNumberFormat="1" applyFont="1" applyFill="1" applyBorder="1"/>
    <xf numFmtId="3" fontId="17" fillId="0" borderId="5" xfId="0" applyNumberFormat="1" applyFont="1" applyFill="1" applyBorder="1"/>
    <xf numFmtId="3" fontId="15" fillId="0" borderId="45" xfId="0" applyNumberFormat="1" applyFont="1" applyFill="1" applyBorder="1"/>
    <xf numFmtId="3" fontId="16" fillId="0" borderId="15" xfId="0" applyNumberFormat="1" applyFont="1" applyFill="1" applyBorder="1"/>
    <xf numFmtId="3" fontId="15" fillId="0" borderId="43" xfId="0" applyNumberFormat="1" applyFont="1" applyFill="1" applyBorder="1"/>
    <xf numFmtId="3" fontId="16" fillId="0" borderId="54" xfId="0" applyNumberFormat="1" applyFont="1" applyFill="1" applyBorder="1"/>
    <xf numFmtId="3" fontId="18" fillId="0" borderId="15" xfId="0" applyNumberFormat="1" applyFont="1" applyFill="1" applyBorder="1"/>
    <xf numFmtId="3" fontId="16" fillId="0" borderId="44" xfId="0" applyNumberFormat="1" applyFont="1" applyFill="1" applyBorder="1"/>
    <xf numFmtId="3" fontId="17" fillId="0" borderId="44" xfId="0" applyNumberFormat="1" applyFont="1" applyFill="1" applyBorder="1"/>
    <xf numFmtId="164" fontId="15" fillId="0" borderId="15" xfId="0" applyNumberFormat="1" applyFont="1" applyFill="1" applyBorder="1"/>
    <xf numFmtId="164" fontId="17" fillId="0" borderId="5" xfId="0" applyNumberFormat="1" applyFont="1" applyFill="1" applyBorder="1"/>
    <xf numFmtId="164" fontId="15" fillId="0" borderId="5" xfId="0" applyNumberFormat="1" applyFont="1" applyFill="1" applyBorder="1"/>
    <xf numFmtId="164" fontId="15" fillId="0" borderId="41" xfId="0" applyNumberFormat="1" applyFont="1" applyFill="1" applyBorder="1"/>
    <xf numFmtId="3" fontId="12" fillId="0" borderId="56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14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8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8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54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14" xfId="11" applyNumberFormat="1" applyFont="1" applyFill="1" applyBorder="1" applyAlignment="1">
      <alignment vertical="center" wrapText="1"/>
    </xf>
    <xf numFmtId="3" fontId="21" fillId="0" borderId="14" xfId="11" applyNumberFormat="1" applyFont="1" applyFill="1" applyBorder="1" applyAlignment="1">
      <alignment vertical="center" wrapText="1"/>
    </xf>
    <xf numFmtId="3" fontId="56" fillId="0" borderId="14" xfId="11" applyNumberFormat="1" applyFont="1" applyFill="1" applyBorder="1" applyAlignment="1">
      <alignment vertical="center" wrapText="1"/>
    </xf>
    <xf numFmtId="3" fontId="21" fillId="0" borderId="56" xfId="11" applyNumberFormat="1" applyFont="1" applyFill="1" applyBorder="1" applyAlignment="1" applyProtection="1">
      <alignment horizontal="right" vertical="center" wrapText="1"/>
      <protection locked="0"/>
    </xf>
    <xf numFmtId="3" fontId="10" fillId="0" borderId="58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3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85" xfId="11" applyNumberFormat="1" applyFont="1" applyFill="1" applyBorder="1" applyAlignment="1">
      <alignment vertical="center" wrapText="1"/>
    </xf>
    <xf numFmtId="3" fontId="11" fillId="0" borderId="87" xfId="11" applyNumberFormat="1" applyFont="1" applyFill="1" applyBorder="1" applyAlignment="1" applyProtection="1">
      <alignment horizontal="right" vertical="center" wrapText="1"/>
      <protection locked="0"/>
    </xf>
    <xf numFmtId="49" fontId="12" fillId="0" borderId="86" xfId="11" applyNumberFormat="1" applyFont="1" applyFill="1" applyBorder="1" applyAlignment="1">
      <alignment horizontal="center" vertical="center" wrapText="1"/>
    </xf>
    <xf numFmtId="0" fontId="12" fillId="0" borderId="85" xfId="11" applyFont="1" applyFill="1" applyBorder="1" applyAlignment="1">
      <alignment horizontal="left" vertical="center" wrapText="1" indent="1"/>
    </xf>
    <xf numFmtId="3" fontId="51" fillId="0" borderId="89" xfId="11" applyNumberFormat="1" applyFont="1" applyFill="1" applyBorder="1" applyAlignment="1">
      <alignment horizontal="center" vertical="center" wrapText="1"/>
    </xf>
    <xf numFmtId="0" fontId="12" fillId="0" borderId="99" xfId="11" applyFont="1" applyFill="1" applyBorder="1" applyAlignment="1">
      <alignment horizontal="left" vertical="center" wrapText="1" indent="1"/>
    </xf>
    <xf numFmtId="3" fontId="12" fillId="0" borderId="99" xfId="11" applyNumberFormat="1" applyFont="1" applyFill="1" applyBorder="1" applyAlignment="1">
      <alignment vertical="center" wrapText="1"/>
    </xf>
    <xf numFmtId="165" fontId="11" fillId="0" borderId="57" xfId="11" applyNumberFormat="1" applyFont="1" applyFill="1" applyBorder="1" applyAlignment="1" applyProtection="1">
      <alignment horizontal="center" vertical="center" wrapText="1"/>
    </xf>
    <xf numFmtId="3" fontId="10" fillId="0" borderId="91" xfId="11" applyNumberFormat="1" applyFont="1" applyFill="1" applyBorder="1" applyAlignment="1" applyProtection="1">
      <alignment vertical="center" wrapText="1"/>
      <protection locked="0"/>
    </xf>
    <xf numFmtId="3" fontId="11" fillId="0" borderId="91" xfId="11" applyNumberFormat="1" applyFont="1" applyFill="1" applyBorder="1" applyAlignment="1" applyProtection="1">
      <alignment vertical="center" wrapText="1"/>
    </xf>
    <xf numFmtId="165" fontId="11" fillId="0" borderId="48" xfId="11" applyNumberFormat="1" applyFont="1" applyFill="1" applyBorder="1" applyAlignment="1" applyProtection="1">
      <alignment horizontal="center" vertical="center" wrapText="1"/>
    </xf>
    <xf numFmtId="3" fontId="11" fillId="0" borderId="85" xfId="11" applyNumberFormat="1" applyFont="1" applyFill="1" applyBorder="1" applyAlignment="1" applyProtection="1">
      <alignment vertical="center" wrapText="1"/>
    </xf>
    <xf numFmtId="165" fontId="12" fillId="0" borderId="58" xfId="11" applyNumberFormat="1" applyFont="1" applyFill="1" applyBorder="1" applyAlignment="1">
      <alignment vertical="center" wrapText="1"/>
    </xf>
    <xf numFmtId="0" fontId="11" fillId="0" borderId="57" xfId="11" applyFont="1" applyBorder="1" applyAlignment="1">
      <alignment vertical="center" wrapText="1"/>
    </xf>
    <xf numFmtId="3" fontId="12" fillId="0" borderId="49" xfId="11" applyNumberFormat="1" applyFont="1" applyBorder="1" applyAlignment="1" applyProtection="1">
      <alignment vertical="center"/>
      <protection locked="0"/>
    </xf>
    <xf numFmtId="3" fontId="12" fillId="0" borderId="59" xfId="11" applyNumberFormat="1" applyFont="1" applyBorder="1" applyAlignment="1" applyProtection="1">
      <alignment vertical="center"/>
      <protection locked="0"/>
    </xf>
    <xf numFmtId="3" fontId="11" fillId="0" borderId="48" xfId="11" applyNumberFormat="1" applyFont="1" applyFill="1" applyBorder="1" applyAlignment="1">
      <alignment vertical="center"/>
    </xf>
    <xf numFmtId="3" fontId="11" fillId="0" borderId="55" xfId="11" applyNumberFormat="1" applyFont="1" applyFill="1" applyBorder="1" applyAlignment="1">
      <alignment vertical="center"/>
    </xf>
    <xf numFmtId="0" fontId="11" fillId="0" borderId="57" xfId="11" applyFont="1" applyBorder="1" applyAlignment="1">
      <alignment horizontal="center" vertical="center" wrapText="1"/>
    </xf>
    <xf numFmtId="3" fontId="12" fillId="0" borderId="55" xfId="11" applyNumberFormat="1" applyFont="1" applyBorder="1" applyAlignment="1" applyProtection="1">
      <alignment vertical="center"/>
      <protection locked="0"/>
    </xf>
    <xf numFmtId="0" fontId="11" fillId="0" borderId="3" xfId="11" applyFont="1" applyBorder="1" applyAlignment="1">
      <alignment vertical="center" wrapText="1"/>
    </xf>
    <xf numFmtId="3" fontId="12" fillId="0" borderId="56" xfId="11" applyNumberFormat="1" applyFont="1" applyBorder="1" applyAlignment="1" applyProtection="1">
      <alignment vertical="center"/>
      <protection locked="0"/>
    </xf>
    <xf numFmtId="3" fontId="12" fillId="0" borderId="14" xfId="11" applyNumberFormat="1" applyFont="1" applyBorder="1" applyAlignment="1" applyProtection="1">
      <alignment vertical="center"/>
      <protection locked="0"/>
    </xf>
    <xf numFmtId="3" fontId="11" fillId="0" borderId="54" xfId="11" applyNumberFormat="1" applyFont="1" applyFill="1" applyBorder="1" applyAlignment="1">
      <alignment vertical="center"/>
    </xf>
    <xf numFmtId="0" fontId="11" fillId="0" borderId="3" xfId="11" applyFont="1" applyBorder="1" applyAlignment="1">
      <alignment horizontal="center" vertical="center" wrapText="1"/>
    </xf>
    <xf numFmtId="3" fontId="12" fillId="0" borderId="8" xfId="11" applyNumberFormat="1" applyFont="1" applyBorder="1" applyAlignment="1" applyProtection="1">
      <alignment vertical="center"/>
      <protection locked="0"/>
    </xf>
    <xf numFmtId="3" fontId="11" fillId="0" borderId="60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6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60" xfId="11" applyNumberFormat="1" applyFont="1" applyFill="1" applyBorder="1" applyAlignment="1" applyProtection="1">
      <alignment horizontal="right" wrapText="1"/>
      <protection locked="0"/>
    </xf>
    <xf numFmtId="3" fontId="11" fillId="0" borderId="16" xfId="11" applyNumberFormat="1" applyFont="1" applyFill="1" applyBorder="1" applyAlignment="1" applyProtection="1">
      <alignment horizontal="right" wrapText="1"/>
      <protection locked="0"/>
    </xf>
    <xf numFmtId="3" fontId="11" fillId="0" borderId="62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2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63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25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6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38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97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3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1" xfId="31" applyNumberFormat="1" applyFont="1" applyFill="1" applyBorder="1" applyAlignment="1" applyProtection="1">
      <alignment horizontal="center" vertical="center" wrapText="1"/>
    </xf>
    <xf numFmtId="3" fontId="11" fillId="0" borderId="10" xfId="31" applyNumberFormat="1" applyFont="1" applyFill="1" applyBorder="1" applyAlignment="1" applyProtection="1">
      <alignment horizontal="center" vertical="center" wrapText="1"/>
    </xf>
    <xf numFmtId="3" fontId="11" fillId="0" borderId="0" xfId="11" applyNumberFormat="1" applyFont="1" applyFill="1" applyBorder="1" applyAlignment="1">
      <alignment horizontal="center"/>
    </xf>
    <xf numFmtId="3" fontId="11" fillId="0" borderId="0" xfId="11" applyNumberFormat="1" applyFont="1" applyFill="1" applyBorder="1"/>
    <xf numFmtId="3" fontId="9" fillId="0" borderId="0" xfId="11" applyNumberFormat="1" applyFont="1" applyAlignment="1"/>
    <xf numFmtId="3" fontId="12" fillId="0" borderId="48" xfId="11" applyNumberFormat="1" applyFont="1" applyFill="1" applyBorder="1" applyAlignment="1" applyProtection="1">
      <alignment vertical="center"/>
      <protection locked="0"/>
    </xf>
    <xf numFmtId="3" fontId="12" fillId="0" borderId="59" xfId="11" applyNumberFormat="1" applyFont="1" applyFill="1" applyBorder="1" applyAlignment="1" applyProtection="1">
      <alignment vertical="center"/>
      <protection locked="0"/>
    </xf>
    <xf numFmtId="3" fontId="51" fillId="5" borderId="0" xfId="11" applyNumberFormat="1" applyFont="1" applyFill="1"/>
    <xf numFmtId="0" fontId="33" fillId="0" borderId="0" xfId="28" applyFont="1" applyAlignment="1">
      <alignment horizontal="left" wrapText="1"/>
    </xf>
    <xf numFmtId="0" fontId="20" fillId="0" borderId="0" xfId="0" applyFont="1" applyFill="1" applyBorder="1"/>
    <xf numFmtId="0" fontId="16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/>
    <xf numFmtId="0" fontId="15" fillId="0" borderId="61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6" fillId="0" borderId="63" xfId="0" applyFont="1" applyFill="1" applyBorder="1" applyAlignment="1">
      <alignment horizontal="center" vertical="top" wrapText="1"/>
    </xf>
    <xf numFmtId="0" fontId="16" fillId="0" borderId="25" xfId="0" applyFont="1" applyFill="1" applyBorder="1" applyAlignment="1">
      <alignment horizontal="center" vertical="top" wrapText="1"/>
    </xf>
    <xf numFmtId="0" fontId="16" fillId="0" borderId="26" xfId="0" applyFont="1" applyFill="1" applyBorder="1" applyAlignment="1">
      <alignment horizontal="center" vertical="top" wrapText="1"/>
    </xf>
    <xf numFmtId="0" fontId="16" fillId="0" borderId="61" xfId="0" applyFont="1" applyFill="1" applyBorder="1" applyAlignment="1">
      <alignment horizontal="center" vertical="top" wrapText="1"/>
    </xf>
    <xf numFmtId="0" fontId="16" fillId="0" borderId="38" xfId="0" applyFont="1" applyFill="1" applyBorder="1" applyAlignment="1">
      <alignment horizontal="left" vertical="top" wrapText="1"/>
    </xf>
    <xf numFmtId="3" fontId="16" fillId="0" borderId="38" xfId="0" applyNumberFormat="1" applyFont="1" applyFill="1" applyBorder="1" applyAlignment="1">
      <alignment horizontal="right" vertical="top" wrapText="1"/>
    </xf>
    <xf numFmtId="3" fontId="16" fillId="0" borderId="39" xfId="0" applyNumberFormat="1" applyFont="1" applyFill="1" applyBorder="1" applyAlignment="1">
      <alignment horizontal="right" vertical="top" wrapText="1"/>
    </xf>
    <xf numFmtId="0" fontId="16" fillId="0" borderId="62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left" vertical="top" wrapText="1"/>
    </xf>
    <xf numFmtId="3" fontId="16" fillId="0" borderId="2" xfId="0" applyNumberFormat="1" applyFont="1" applyFill="1" applyBorder="1" applyAlignment="1">
      <alignment horizontal="right" vertical="top" wrapText="1"/>
    </xf>
    <xf numFmtId="3" fontId="16" fillId="0" borderId="18" xfId="0" applyNumberFormat="1" applyFont="1" applyFill="1" applyBorder="1" applyAlignment="1">
      <alignment horizontal="right" vertical="top" wrapText="1"/>
    </xf>
    <xf numFmtId="0" fontId="16" fillId="0" borderId="25" xfId="0" applyFont="1" applyFill="1" applyBorder="1" applyAlignment="1">
      <alignment horizontal="left" vertical="top" wrapText="1"/>
    </xf>
    <xf numFmtId="3" fontId="16" fillId="0" borderId="25" xfId="0" applyNumberFormat="1" applyFont="1" applyFill="1" applyBorder="1" applyAlignment="1">
      <alignment horizontal="right" vertical="top" wrapText="1"/>
    </xf>
    <xf numFmtId="3" fontId="16" fillId="0" borderId="26" xfId="0" applyNumberFormat="1" applyFont="1" applyFill="1" applyBorder="1" applyAlignment="1">
      <alignment horizontal="right" vertical="top" wrapText="1"/>
    </xf>
    <xf numFmtId="0" fontId="15" fillId="0" borderId="11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left" vertical="top" wrapText="1"/>
    </xf>
    <xf numFmtId="3" fontId="15" fillId="0" borderId="10" xfId="0" applyNumberFormat="1" applyFont="1" applyFill="1" applyBorder="1" applyAlignment="1">
      <alignment horizontal="right" vertical="top" wrapText="1"/>
    </xf>
    <xf numFmtId="3" fontId="15" fillId="0" borderId="9" xfId="0" applyNumberFormat="1" applyFont="1" applyFill="1" applyBorder="1" applyAlignment="1">
      <alignment horizontal="right" vertical="top" wrapText="1"/>
    </xf>
    <xf numFmtId="0" fontId="16" fillId="0" borderId="60" xfId="0" applyFont="1" applyFill="1" applyBorder="1" applyAlignment="1">
      <alignment horizontal="center" vertical="top" wrapText="1"/>
    </xf>
    <xf numFmtId="0" fontId="16" fillId="0" borderId="16" xfId="0" applyFont="1" applyFill="1" applyBorder="1" applyAlignment="1">
      <alignment horizontal="left" vertical="top" wrapText="1"/>
    </xf>
    <xf numFmtId="3" fontId="16" fillId="0" borderId="16" xfId="0" applyNumberFormat="1" applyFont="1" applyFill="1" applyBorder="1" applyAlignment="1">
      <alignment horizontal="right" vertical="top" wrapText="1"/>
    </xf>
    <xf numFmtId="3" fontId="16" fillId="0" borderId="17" xfId="0" applyNumberFormat="1" applyFont="1" applyFill="1" applyBorder="1" applyAlignment="1">
      <alignment horizontal="right" vertical="top" wrapText="1"/>
    </xf>
    <xf numFmtId="0" fontId="15" fillId="0" borderId="97" xfId="0" applyFont="1" applyFill="1" applyBorder="1" applyAlignment="1">
      <alignment horizontal="center" vertical="top" wrapText="1"/>
    </xf>
    <xf numFmtId="0" fontId="15" fillId="0" borderId="31" xfId="0" applyFont="1" applyFill="1" applyBorder="1" applyAlignment="1">
      <alignment horizontal="left" vertical="top" wrapText="1"/>
    </xf>
    <xf numFmtId="3" fontId="15" fillId="0" borderId="31" xfId="0" applyNumberFormat="1" applyFont="1" applyFill="1" applyBorder="1" applyAlignment="1">
      <alignment horizontal="right" vertical="top" wrapText="1"/>
    </xf>
    <xf numFmtId="3" fontId="15" fillId="0" borderId="32" xfId="0" applyNumberFormat="1" applyFont="1" applyFill="1" applyBorder="1" applyAlignment="1">
      <alignment horizontal="right" vertical="top" wrapText="1"/>
    </xf>
    <xf numFmtId="0" fontId="16" fillId="0" borderId="97" xfId="0" applyFont="1" applyFill="1" applyBorder="1" applyAlignment="1">
      <alignment horizontal="center" vertical="top" wrapText="1"/>
    </xf>
    <xf numFmtId="0" fontId="16" fillId="0" borderId="31" xfId="0" applyFont="1" applyFill="1" applyBorder="1" applyAlignment="1">
      <alignment horizontal="left" vertical="top" wrapText="1"/>
    </xf>
    <xf numFmtId="3" fontId="16" fillId="0" borderId="31" xfId="0" applyNumberFormat="1" applyFont="1" applyFill="1" applyBorder="1" applyAlignment="1">
      <alignment horizontal="right" vertical="top" wrapText="1"/>
    </xf>
    <xf numFmtId="3" fontId="16" fillId="0" borderId="32" xfId="0" applyNumberFormat="1" applyFont="1" applyFill="1" applyBorder="1" applyAlignment="1">
      <alignment horizontal="right" vertical="top" wrapText="1"/>
    </xf>
    <xf numFmtId="0" fontId="16" fillId="0" borderId="2" xfId="0" applyFont="1" applyFill="1" applyBorder="1"/>
    <xf numFmtId="0" fontId="16" fillId="0" borderId="25" xfId="0" applyFont="1" applyFill="1" applyBorder="1"/>
    <xf numFmtId="0" fontId="15" fillId="0" borderId="10" xfId="0" applyFont="1" applyFill="1" applyBorder="1"/>
    <xf numFmtId="0" fontId="20" fillId="0" borderId="0" xfId="0" applyFont="1" applyFill="1"/>
    <xf numFmtId="0" fontId="16" fillId="0" borderId="0" xfId="0" applyFont="1" applyFill="1" applyAlignment="1">
      <alignment horizontal="center" vertical="top" wrapText="1"/>
    </xf>
    <xf numFmtId="0" fontId="16" fillId="0" borderId="89" xfId="0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center" vertical="top" wrapText="1"/>
    </xf>
    <xf numFmtId="0" fontId="16" fillId="0" borderId="36" xfId="0" applyFont="1" applyFill="1" applyBorder="1" applyAlignment="1">
      <alignment horizontal="center" vertical="top" wrapText="1"/>
    </xf>
    <xf numFmtId="0" fontId="15" fillId="0" borderId="86" xfId="0" applyFont="1" applyFill="1" applyBorder="1" applyAlignment="1">
      <alignment horizontal="center" vertical="top" wrapText="1"/>
    </xf>
    <xf numFmtId="0" fontId="15" fillId="0" borderId="51" xfId="0" applyFont="1" applyFill="1" applyBorder="1" applyAlignment="1">
      <alignment horizontal="left" vertical="top" wrapText="1"/>
    </xf>
    <xf numFmtId="3" fontId="15" fillId="0" borderId="51" xfId="0" applyNumberFormat="1" applyFont="1" applyFill="1" applyBorder="1" applyAlignment="1">
      <alignment horizontal="right" vertical="top" wrapText="1"/>
    </xf>
    <xf numFmtId="3" fontId="15" fillId="0" borderId="50" xfId="0" applyNumberFormat="1" applyFont="1" applyFill="1" applyBorder="1" applyAlignment="1">
      <alignment horizontal="right" vertical="top" wrapText="1"/>
    </xf>
    <xf numFmtId="0" fontId="15" fillId="0" borderId="98" xfId="0" applyFont="1" applyFill="1" applyBorder="1" applyAlignment="1">
      <alignment horizontal="center" vertical="top" wrapText="1"/>
    </xf>
    <xf numFmtId="0" fontId="15" fillId="0" borderId="28" xfId="0" applyFont="1" applyFill="1" applyBorder="1" applyAlignment="1">
      <alignment horizontal="left" vertical="top" wrapText="1"/>
    </xf>
    <xf numFmtId="3" fontId="15" fillId="0" borderId="28" xfId="0" applyNumberFormat="1" applyFont="1" applyFill="1" applyBorder="1" applyAlignment="1">
      <alignment horizontal="right" vertical="top" wrapText="1"/>
    </xf>
    <xf numFmtId="3" fontId="15" fillId="0" borderId="29" xfId="0" applyNumberFormat="1" applyFont="1" applyFill="1" applyBorder="1" applyAlignment="1">
      <alignment horizontal="right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 wrapText="1"/>
    </xf>
    <xf numFmtId="3" fontId="15" fillId="0" borderId="0" xfId="0" applyNumberFormat="1" applyFont="1" applyFill="1" applyBorder="1" applyAlignment="1">
      <alignment horizontal="right" vertical="top" wrapText="1"/>
    </xf>
    <xf numFmtId="0" fontId="16" fillId="0" borderId="0" xfId="0" applyFont="1" applyFill="1" applyAlignment="1">
      <alignment vertical="center"/>
    </xf>
    <xf numFmtId="0" fontId="0" fillId="0" borderId="0" xfId="0" applyFont="1" applyFill="1"/>
    <xf numFmtId="3" fontId="19" fillId="0" borderId="0" xfId="13" applyNumberFormat="1" applyFont="1"/>
    <xf numFmtId="3" fontId="20" fillId="0" borderId="0" xfId="13" applyNumberFormat="1" applyFont="1"/>
    <xf numFmtId="3" fontId="20" fillId="0" borderId="0" xfId="13" applyNumberFormat="1" applyFont="1" applyAlignment="1">
      <alignment horizontal="center"/>
    </xf>
    <xf numFmtId="3" fontId="33" fillId="0" borderId="0" xfId="13" applyNumberFormat="1" applyFont="1"/>
    <xf numFmtId="3" fontId="59" fillId="0" borderId="0" xfId="13" applyNumberFormat="1" applyFont="1" applyFill="1" applyAlignment="1">
      <alignment horizontal="right"/>
    </xf>
    <xf numFmtId="3" fontId="59" fillId="0" borderId="0" xfId="13" applyNumberFormat="1" applyFont="1" applyBorder="1" applyAlignment="1">
      <alignment horizontal="right"/>
    </xf>
    <xf numFmtId="3" fontId="60" fillId="0" borderId="0" xfId="13" applyNumberFormat="1" applyFont="1"/>
    <xf numFmtId="3" fontId="35" fillId="0" borderId="96" xfId="13" applyNumberFormat="1" applyFont="1" applyBorder="1" applyAlignment="1">
      <alignment horizontal="center" vertical="center" wrapText="1"/>
    </xf>
    <xf numFmtId="3" fontId="33" fillId="0" borderId="98" xfId="13" applyNumberFormat="1" applyFont="1" applyBorder="1" applyAlignment="1">
      <alignment horizontal="center" vertical="center" wrapText="1"/>
    </xf>
    <xf numFmtId="3" fontId="33" fillId="0" borderId="28" xfId="13" applyNumberFormat="1" applyFont="1" applyBorder="1" applyAlignment="1">
      <alignment horizontal="center" vertical="center" wrapText="1"/>
    </xf>
    <xf numFmtId="3" fontId="35" fillId="0" borderId="29" xfId="13" applyNumberFormat="1" applyFont="1" applyBorder="1" applyAlignment="1">
      <alignment horizontal="center" vertical="center" wrapText="1"/>
    </xf>
    <xf numFmtId="3" fontId="33" fillId="0" borderId="0" xfId="13" applyNumberFormat="1" applyFont="1" applyAlignment="1">
      <alignment horizontal="center" vertical="center" wrapText="1"/>
    </xf>
    <xf numFmtId="49" fontId="33" fillId="0" borderId="57" xfId="13" applyNumberFormat="1" applyFont="1" applyBorder="1" applyAlignment="1">
      <alignment wrapText="1"/>
    </xf>
    <xf numFmtId="3" fontId="33" fillId="0" borderId="97" xfId="13" applyNumberFormat="1" applyFont="1" applyBorder="1"/>
    <xf numFmtId="3" fontId="33" fillId="0" borderId="31" xfId="13" applyNumberFormat="1" applyFont="1" applyBorder="1"/>
    <xf numFmtId="3" fontId="35" fillId="0" borderId="32" xfId="13" applyNumberFormat="1" applyFont="1" applyBorder="1"/>
    <xf numFmtId="3" fontId="33" fillId="0" borderId="46" xfId="13" applyNumberFormat="1" applyFont="1" applyBorder="1"/>
    <xf numFmtId="3" fontId="35" fillId="0" borderId="96" xfId="13" applyNumberFormat="1" applyFont="1" applyFill="1" applyBorder="1"/>
    <xf numFmtId="3" fontId="35" fillId="0" borderId="96" xfId="13" applyNumberFormat="1" applyFont="1" applyBorder="1"/>
    <xf numFmtId="3" fontId="60" fillId="0" borderId="46" xfId="13" applyNumberFormat="1" applyFont="1" applyBorder="1"/>
    <xf numFmtId="49" fontId="35" fillId="0" borderId="57" xfId="13" applyNumberFormat="1" applyFont="1" applyBorder="1" applyAlignment="1">
      <alignment wrapText="1"/>
    </xf>
    <xf numFmtId="3" fontId="35" fillId="0" borderId="97" xfId="13" applyNumberFormat="1" applyFont="1" applyBorder="1"/>
    <xf numFmtId="3" fontId="35" fillId="0" borderId="31" xfId="13" applyNumberFormat="1" applyFont="1" applyBorder="1"/>
    <xf numFmtId="3" fontId="35" fillId="0" borderId="46" xfId="13" applyNumberFormat="1" applyFont="1" applyBorder="1"/>
    <xf numFmtId="3" fontId="59" fillId="0" borderId="46" xfId="13" applyNumberFormat="1" applyFont="1" applyBorder="1"/>
    <xf numFmtId="3" fontId="35" fillId="0" borderId="0" xfId="13" applyNumberFormat="1" applyFont="1"/>
    <xf numFmtId="49" fontId="33" fillId="0" borderId="57" xfId="13" applyNumberFormat="1" applyFont="1" applyBorder="1" applyAlignment="1">
      <alignment horizontal="left" wrapText="1" indent="2"/>
    </xf>
    <xf numFmtId="3" fontId="33" fillId="0" borderId="97" xfId="13" applyNumberFormat="1" applyFont="1" applyFill="1" applyBorder="1"/>
    <xf numFmtId="3" fontId="33" fillId="0" borderId="3" xfId="13" applyNumberFormat="1" applyFont="1" applyFill="1" applyBorder="1"/>
    <xf numFmtId="3" fontId="33" fillId="0" borderId="31" xfId="13" applyNumberFormat="1" applyFont="1" applyFill="1" applyBorder="1"/>
    <xf numFmtId="3" fontId="33" fillId="0" borderId="46" xfId="13" applyNumberFormat="1" applyFont="1" applyFill="1" applyBorder="1"/>
    <xf numFmtId="3" fontId="35" fillId="0" borderId="32" xfId="13" applyNumberFormat="1" applyFont="1" applyFill="1" applyBorder="1"/>
    <xf numFmtId="3" fontId="60" fillId="0" borderId="46" xfId="13" applyNumberFormat="1" applyFont="1" applyFill="1" applyBorder="1"/>
    <xf numFmtId="3" fontId="33" fillId="0" borderId="57" xfId="13" applyNumberFormat="1" applyFont="1" applyBorder="1"/>
    <xf numFmtId="3" fontId="35" fillId="0" borderId="97" xfId="13" applyNumberFormat="1" applyFont="1" applyFill="1" applyBorder="1"/>
    <xf numFmtId="3" fontId="35" fillId="0" borderId="31" xfId="13" applyNumberFormat="1" applyFont="1" applyFill="1" applyBorder="1"/>
    <xf numFmtId="3" fontId="35" fillId="0" borderId="46" xfId="13" applyNumberFormat="1" applyFont="1" applyFill="1" applyBorder="1"/>
    <xf numFmtId="3" fontId="59" fillId="0" borderId="46" xfId="13" applyNumberFormat="1" applyFont="1" applyFill="1" applyBorder="1"/>
    <xf numFmtId="49" fontId="33" fillId="0" borderId="57" xfId="13" applyNumberFormat="1" applyFont="1" applyBorder="1" applyAlignment="1">
      <alignment horizontal="left" wrapText="1" indent="1"/>
    </xf>
    <xf numFmtId="49" fontId="35" fillId="0" borderId="57" xfId="13" applyNumberFormat="1" applyFont="1" applyBorder="1" applyAlignment="1">
      <alignment horizontal="left" wrapText="1"/>
    </xf>
    <xf numFmtId="49" fontId="33" fillId="0" borderId="57" xfId="13" applyNumberFormat="1" applyFont="1" applyBorder="1" applyAlignment="1">
      <alignment horizontal="left" wrapText="1"/>
    </xf>
    <xf numFmtId="3" fontId="33" fillId="0" borderId="32" xfId="13" applyNumberFormat="1" applyFont="1" applyFill="1" applyBorder="1"/>
    <xf numFmtId="3" fontId="33" fillId="0" borderId="96" xfId="13" applyNumberFormat="1" applyFont="1" applyFill="1" applyBorder="1"/>
    <xf numFmtId="3" fontId="33" fillId="0" borderId="35" xfId="13" applyNumberFormat="1" applyFont="1" applyFill="1" applyBorder="1"/>
    <xf numFmtId="3" fontId="33" fillId="0" borderId="92" xfId="13" applyNumberFormat="1" applyFont="1" applyFill="1" applyBorder="1"/>
    <xf numFmtId="3" fontId="33" fillId="0" borderId="96" xfId="13" applyNumberFormat="1" applyFont="1" applyBorder="1"/>
    <xf numFmtId="49" fontId="35" fillId="0" borderId="47" xfId="13" applyNumberFormat="1" applyFont="1" applyBorder="1" applyAlignment="1">
      <alignment wrapText="1"/>
    </xf>
    <xf numFmtId="3" fontId="35" fillId="0" borderId="11" xfId="13" applyNumberFormat="1" applyFont="1" applyBorder="1"/>
    <xf numFmtId="3" fontId="35" fillId="0" borderId="10" xfId="13" applyNumberFormat="1" applyFont="1" applyBorder="1"/>
    <xf numFmtId="3" fontId="35" fillId="0" borderId="9" xfId="13" applyNumberFormat="1" applyFont="1" applyBorder="1"/>
    <xf numFmtId="3" fontId="35" fillId="0" borderId="34" xfId="13" applyNumberFormat="1" applyFont="1" applyBorder="1"/>
    <xf numFmtId="3" fontId="35" fillId="0" borderId="12" xfId="13" applyNumberFormat="1" applyFont="1" applyFill="1" applyBorder="1"/>
    <xf numFmtId="3" fontId="59" fillId="0" borderId="34" xfId="13" applyNumberFormat="1" applyFont="1" applyBorder="1"/>
    <xf numFmtId="49" fontId="33" fillId="0" borderId="0" xfId="13" applyNumberFormat="1" applyFont="1" applyAlignment="1">
      <alignment wrapText="1"/>
    </xf>
    <xf numFmtId="3" fontId="35" fillId="0" borderId="0" xfId="13" applyNumberFormat="1" applyFont="1" applyFill="1"/>
    <xf numFmtId="3" fontId="35" fillId="0" borderId="0" xfId="13" applyNumberFormat="1" applyFont="1" applyBorder="1"/>
    <xf numFmtId="3" fontId="35" fillId="0" borderId="0" xfId="13" applyNumberFormat="1" applyFont="1" applyBorder="1" applyAlignment="1">
      <alignment horizontal="center" vertical="center" wrapText="1"/>
    </xf>
    <xf numFmtId="3" fontId="35" fillId="7" borderId="97" xfId="13" applyNumberFormat="1" applyFont="1" applyFill="1" applyBorder="1"/>
    <xf numFmtId="3" fontId="35" fillId="7" borderId="31" xfId="13" applyNumberFormat="1" applyFont="1" applyFill="1" applyBorder="1"/>
    <xf numFmtId="3" fontId="35" fillId="7" borderId="32" xfId="13" applyNumberFormat="1" applyFont="1" applyFill="1" applyBorder="1"/>
    <xf numFmtId="3" fontId="35" fillId="7" borderId="46" xfId="13" applyNumberFormat="1" applyFont="1" applyFill="1" applyBorder="1"/>
    <xf numFmtId="3" fontId="59" fillId="0" borderId="0" xfId="13" applyNumberFormat="1" applyFont="1"/>
    <xf numFmtId="3" fontId="33" fillId="7" borderId="97" xfId="13" applyNumberFormat="1" applyFont="1" applyFill="1" applyBorder="1"/>
    <xf numFmtId="3" fontId="33" fillId="7" borderId="31" xfId="13" applyNumberFormat="1" applyFont="1" applyFill="1" applyBorder="1"/>
    <xf numFmtId="3" fontId="33" fillId="7" borderId="46" xfId="13" applyNumberFormat="1" applyFont="1" applyFill="1" applyBorder="1"/>
    <xf numFmtId="3" fontId="33" fillId="7" borderId="32" xfId="13" applyNumberFormat="1" applyFont="1" applyFill="1" applyBorder="1"/>
    <xf numFmtId="3" fontId="35" fillId="0" borderId="11" xfId="13" applyNumberFormat="1" applyFont="1" applyFill="1" applyBorder="1"/>
    <xf numFmtId="3" fontId="35" fillId="0" borderId="10" xfId="13" applyNumberFormat="1" applyFont="1" applyFill="1" applyBorder="1"/>
    <xf numFmtId="3" fontId="35" fillId="0" borderId="9" xfId="13" applyNumberFormat="1" applyFont="1" applyFill="1" applyBorder="1"/>
    <xf numFmtId="3" fontId="35" fillId="0" borderId="34" xfId="13" applyNumberFormat="1" applyFont="1" applyFill="1" applyBorder="1"/>
    <xf numFmtId="3" fontId="60" fillId="0" borderId="0" xfId="13" applyNumberFormat="1" applyFont="1" applyAlignment="1"/>
    <xf numFmtId="0" fontId="59" fillId="0" borderId="0" xfId="13" applyFont="1"/>
    <xf numFmtId="3" fontId="61" fillId="0" borderId="0" xfId="11" applyNumberFormat="1" applyFont="1" applyFill="1"/>
    <xf numFmtId="3" fontId="32" fillId="0" borderId="0" xfId="11" applyNumberFormat="1" applyFont="1" applyFill="1" applyAlignment="1">
      <alignment horizontal="right"/>
    </xf>
    <xf numFmtId="3" fontId="30" fillId="0" borderId="11" xfId="11" applyNumberFormat="1" applyFont="1" applyFill="1" applyBorder="1" applyAlignment="1">
      <alignment horizontal="center" vertical="center" wrapText="1"/>
    </xf>
    <xf numFmtId="3" fontId="30" fillId="0" borderId="58" xfId="11" applyNumberFormat="1" applyFont="1" applyFill="1" applyBorder="1" applyAlignment="1">
      <alignment horizontal="center" vertical="center" wrapText="1"/>
    </xf>
    <xf numFmtId="3" fontId="30" fillId="0" borderId="34" xfId="11" applyNumberFormat="1" applyFont="1" applyFill="1" applyBorder="1" applyAlignment="1">
      <alignment horizontal="center" vertical="center" wrapText="1"/>
    </xf>
    <xf numFmtId="3" fontId="30" fillId="0" borderId="41" xfId="11" applyNumberFormat="1" applyFont="1" applyFill="1" applyBorder="1" applyAlignment="1">
      <alignment horizontal="center" vertical="center" wrapText="1"/>
    </xf>
    <xf numFmtId="3" fontId="62" fillId="0" borderId="9" xfId="11" applyNumberFormat="1" applyFont="1" applyFill="1" applyBorder="1" applyAlignment="1">
      <alignment horizontal="center" vertical="center" wrapText="1"/>
    </xf>
    <xf numFmtId="3" fontId="32" fillId="0" borderId="34" xfId="11" applyNumberFormat="1" applyFont="1" applyFill="1" applyBorder="1" applyAlignment="1">
      <alignment horizontal="center" vertical="center" wrapText="1"/>
    </xf>
    <xf numFmtId="3" fontId="61" fillId="0" borderId="60" xfId="11" applyNumberFormat="1" applyFont="1" applyFill="1" applyBorder="1" applyAlignment="1">
      <alignment horizontal="center" vertical="center"/>
    </xf>
    <xf numFmtId="3" fontId="61" fillId="0" borderId="8" xfId="11" applyNumberFormat="1" applyFont="1" applyFill="1" applyBorder="1" applyAlignment="1">
      <alignment vertical="center" wrapText="1"/>
    </xf>
    <xf numFmtId="3" fontId="61" fillId="0" borderId="30" xfId="11" applyNumberFormat="1" applyFont="1" applyFill="1" applyBorder="1" applyAlignment="1" applyProtection="1">
      <alignment vertical="center"/>
      <protection locked="0"/>
    </xf>
    <xf numFmtId="3" fontId="61" fillId="0" borderId="7" xfId="11" applyNumberFormat="1" applyFont="1" applyFill="1" applyBorder="1" applyAlignment="1" applyProtection="1">
      <alignment vertical="center"/>
      <protection locked="0"/>
    </xf>
    <xf numFmtId="3" fontId="63" fillId="0" borderId="17" xfId="11" applyNumberFormat="1" applyFont="1" applyFill="1" applyBorder="1" applyAlignment="1" applyProtection="1">
      <alignment vertical="center"/>
      <protection locked="0"/>
    </xf>
    <xf numFmtId="3" fontId="30" fillId="0" borderId="30" xfId="11" applyNumberFormat="1" applyFont="1" applyFill="1" applyBorder="1" applyAlignment="1" applyProtection="1">
      <alignment vertical="center"/>
      <protection locked="0"/>
    </xf>
    <xf numFmtId="10" fontId="61" fillId="0" borderId="7" xfId="41" applyNumberFormat="1" applyFont="1" applyFill="1" applyBorder="1" applyAlignment="1" applyProtection="1">
      <alignment vertical="center"/>
      <protection locked="0"/>
    </xf>
    <xf numFmtId="3" fontId="64" fillId="0" borderId="30" xfId="11" applyNumberFormat="1" applyFont="1" applyFill="1" applyBorder="1" applyAlignment="1">
      <alignment vertical="center"/>
    </xf>
    <xf numFmtId="3" fontId="61" fillId="0" borderId="62" xfId="11" applyNumberFormat="1" applyFont="1" applyFill="1" applyBorder="1" applyAlignment="1">
      <alignment horizontal="center" vertical="center"/>
    </xf>
    <xf numFmtId="3" fontId="61" fillId="0" borderId="56" xfId="11" applyNumberFormat="1" applyFont="1" applyFill="1" applyBorder="1" applyAlignment="1">
      <alignment vertical="center" wrapText="1"/>
    </xf>
    <xf numFmtId="3" fontId="61" fillId="0" borderId="22" xfId="11" applyNumberFormat="1" applyFont="1" applyFill="1" applyBorder="1" applyAlignment="1" applyProtection="1">
      <alignment vertical="center"/>
      <protection locked="0"/>
    </xf>
    <xf numFmtId="3" fontId="61" fillId="0" borderId="42" xfId="11" applyNumberFormat="1" applyFont="1" applyFill="1" applyBorder="1" applyAlignment="1" applyProtection="1">
      <alignment vertical="center"/>
      <protection locked="0"/>
    </xf>
    <xf numFmtId="3" fontId="63" fillId="0" borderId="17" xfId="11" applyNumberFormat="1" applyFont="1" applyFill="1" applyBorder="1" applyAlignment="1" applyProtection="1">
      <alignment vertical="center" wrapText="1"/>
      <protection locked="0"/>
    </xf>
    <xf numFmtId="3" fontId="64" fillId="0" borderId="22" xfId="11" applyNumberFormat="1" applyFont="1" applyFill="1" applyBorder="1" applyAlignment="1">
      <alignment vertical="center"/>
    </xf>
    <xf numFmtId="3" fontId="30" fillId="0" borderId="34" xfId="11" applyNumberFormat="1" applyFont="1" applyFill="1" applyBorder="1" applyAlignment="1">
      <alignment vertical="center"/>
    </xf>
    <xf numFmtId="3" fontId="30" fillId="0" borderId="41" xfId="11" applyNumberFormat="1" applyFont="1" applyFill="1" applyBorder="1" applyAlignment="1">
      <alignment vertical="center"/>
    </xf>
    <xf numFmtId="3" fontId="63" fillId="0" borderId="9" xfId="11" applyNumberFormat="1" applyFont="1" applyFill="1" applyBorder="1" applyAlignment="1">
      <alignment vertical="center"/>
    </xf>
    <xf numFmtId="3" fontId="61" fillId="0" borderId="41" xfId="11" applyNumberFormat="1" applyFont="1" applyFill="1" applyBorder="1" applyAlignment="1">
      <alignment horizontal="center" vertical="center"/>
    </xf>
    <xf numFmtId="3" fontId="64" fillId="0" borderId="34" xfId="11" applyNumberFormat="1" applyFont="1" applyFill="1" applyBorder="1" applyAlignment="1">
      <alignment vertical="center"/>
    </xf>
    <xf numFmtId="3" fontId="30" fillId="0" borderId="19" xfId="11" applyNumberFormat="1" applyFont="1" applyFill="1" applyBorder="1" applyAlignment="1">
      <alignment horizontal="center" vertical="center" wrapText="1"/>
    </xf>
    <xf numFmtId="3" fontId="30" fillId="0" borderId="10" xfId="11" applyNumberFormat="1" applyFont="1" applyFill="1" applyBorder="1" applyAlignment="1">
      <alignment horizontal="center" vertical="center" wrapText="1"/>
    </xf>
    <xf numFmtId="3" fontId="30" fillId="0" borderId="9" xfId="11" applyNumberFormat="1" applyFont="1" applyFill="1" applyBorder="1" applyAlignment="1">
      <alignment horizontal="center" vertical="center" wrapText="1"/>
    </xf>
    <xf numFmtId="3" fontId="61" fillId="0" borderId="16" xfId="11" applyNumberFormat="1" applyFont="1" applyFill="1" applyBorder="1" applyAlignment="1">
      <alignment vertical="center" wrapText="1"/>
    </xf>
    <xf numFmtId="3" fontId="30" fillId="0" borderId="16" xfId="11" applyNumberFormat="1" applyFont="1" applyFill="1" applyBorder="1" applyAlignment="1" applyProtection="1">
      <alignment vertical="center"/>
      <protection locked="0"/>
    </xf>
    <xf numFmtId="3" fontId="61" fillId="0" borderId="16" xfId="11" applyNumberFormat="1" applyFont="1" applyFill="1" applyBorder="1" applyAlignment="1" applyProtection="1">
      <alignment vertical="center"/>
      <protection locked="0"/>
    </xf>
    <xf numFmtId="3" fontId="30" fillId="0" borderId="17" xfId="11" applyNumberFormat="1" applyFont="1" applyFill="1" applyBorder="1" applyAlignment="1">
      <alignment vertical="center"/>
    </xf>
    <xf numFmtId="3" fontId="61" fillId="0" borderId="2" xfId="11" applyNumberFormat="1" applyFont="1" applyFill="1" applyBorder="1" applyAlignment="1">
      <alignment vertical="center" wrapText="1"/>
    </xf>
    <xf numFmtId="3" fontId="30" fillId="0" borderId="2" xfId="11" applyNumberFormat="1" applyFont="1" applyFill="1" applyBorder="1" applyAlignment="1" applyProtection="1">
      <alignment vertical="center"/>
      <protection locked="0"/>
    </xf>
    <xf numFmtId="3" fontId="61" fillId="0" borderId="2" xfId="11" applyNumberFormat="1" applyFont="1" applyFill="1" applyBorder="1" applyAlignment="1" applyProtection="1">
      <alignment vertical="center"/>
      <protection locked="0"/>
    </xf>
    <xf numFmtId="3" fontId="30" fillId="0" borderId="18" xfId="11" applyNumberFormat="1" applyFont="1" applyFill="1" applyBorder="1" applyAlignment="1">
      <alignment vertical="center"/>
    </xf>
    <xf numFmtId="3" fontId="61" fillId="0" borderId="63" xfId="11" applyNumberFormat="1" applyFont="1" applyFill="1" applyBorder="1" applyAlignment="1">
      <alignment horizontal="center" vertical="center"/>
    </xf>
    <xf numFmtId="3" fontId="61" fillId="0" borderId="25" xfId="11" applyNumberFormat="1" applyFont="1" applyFill="1" applyBorder="1" applyAlignment="1">
      <alignment vertical="center" wrapText="1"/>
    </xf>
    <xf numFmtId="3" fontId="30" fillId="0" borderId="25" xfId="11" applyNumberFormat="1" applyFont="1" applyFill="1" applyBorder="1" applyAlignment="1" applyProtection="1">
      <alignment vertical="center"/>
      <protection locked="0"/>
    </xf>
    <xf numFmtId="3" fontId="61" fillId="0" borderId="25" xfId="11" applyNumberFormat="1" applyFont="1" applyFill="1" applyBorder="1" applyAlignment="1" applyProtection="1">
      <alignment vertical="center"/>
      <protection locked="0"/>
    </xf>
    <xf numFmtId="3" fontId="30" fillId="0" borderId="26" xfId="11" applyNumberFormat="1" applyFont="1" applyFill="1" applyBorder="1" applyAlignment="1">
      <alignment vertical="center"/>
    </xf>
    <xf numFmtId="3" fontId="61" fillId="0" borderId="89" xfId="11" applyNumberFormat="1" applyFont="1" applyFill="1" applyBorder="1" applyAlignment="1">
      <alignment horizontal="center" vertical="center"/>
    </xf>
    <xf numFmtId="3" fontId="61" fillId="0" borderId="19" xfId="11" applyNumberFormat="1" applyFont="1" applyFill="1" applyBorder="1" applyAlignment="1">
      <alignment vertical="center" wrapText="1"/>
    </xf>
    <xf numFmtId="3" fontId="30" fillId="0" borderId="19" xfId="11" applyNumberFormat="1" applyFont="1" applyFill="1" applyBorder="1" applyAlignment="1" applyProtection="1">
      <alignment vertical="center"/>
      <protection locked="0"/>
    </xf>
    <xf numFmtId="3" fontId="61" fillId="0" borderId="19" xfId="11" applyNumberFormat="1" applyFont="1" applyFill="1" applyBorder="1" applyAlignment="1" applyProtection="1">
      <alignment vertical="center"/>
      <protection locked="0"/>
    </xf>
    <xf numFmtId="3" fontId="30" fillId="0" borderId="36" xfId="11" applyNumberFormat="1" applyFont="1" applyFill="1" applyBorder="1" applyAlignment="1">
      <alignment vertical="center"/>
    </xf>
    <xf numFmtId="3" fontId="30" fillId="0" borderId="10" xfId="11" applyNumberFormat="1" applyFont="1" applyFill="1" applyBorder="1" applyAlignment="1">
      <alignment vertical="center"/>
    </xf>
    <xf numFmtId="3" fontId="30" fillId="0" borderId="9" xfId="11" applyNumberFormat="1" applyFont="1" applyFill="1" applyBorder="1" applyAlignment="1">
      <alignment vertical="center"/>
    </xf>
    <xf numFmtId="3" fontId="65" fillId="0" borderId="0" xfId="11" applyNumberFormat="1" applyFont="1" applyFill="1"/>
    <xf numFmtId="3" fontId="65" fillId="8" borderId="0" xfId="11" applyNumberFormat="1" applyFont="1" applyFill="1"/>
    <xf numFmtId="3" fontId="66" fillId="0" borderId="0" xfId="11" applyNumberFormat="1" applyFont="1" applyFill="1"/>
    <xf numFmtId="3" fontId="65" fillId="9" borderId="0" xfId="11" applyNumberFormat="1" applyFont="1" applyFill="1"/>
    <xf numFmtId="3" fontId="61" fillId="9" borderId="0" xfId="11" applyNumberFormat="1" applyFont="1" applyFill="1"/>
    <xf numFmtId="0" fontId="19" fillId="0" borderId="0" xfId="13" applyFont="1" applyFill="1"/>
    <xf numFmtId="0" fontId="20" fillId="0" borderId="0" xfId="13" applyFont="1" applyFill="1"/>
    <xf numFmtId="0" fontId="67" fillId="0" borderId="0" xfId="13" applyFont="1" applyFill="1"/>
    <xf numFmtId="0" fontId="20" fillId="0" borderId="0" xfId="13" applyFont="1" applyFill="1" applyAlignment="1"/>
    <xf numFmtId="0" fontId="33" fillId="0" borderId="0" xfId="13" applyFont="1" applyFill="1"/>
    <xf numFmtId="0" fontId="35" fillId="0" borderId="0" xfId="13" applyFont="1" applyFill="1"/>
    <xf numFmtId="0" fontId="60" fillId="0" borderId="0" xfId="13" applyFont="1" applyFill="1"/>
    <xf numFmtId="0" fontId="59" fillId="0" borderId="0" xfId="23" applyFont="1" applyFill="1" applyAlignment="1">
      <alignment horizontal="right"/>
    </xf>
    <xf numFmtId="0" fontId="33" fillId="0" borderId="57" xfId="13" applyFont="1" applyFill="1" applyBorder="1" applyAlignment="1">
      <alignment horizontal="center"/>
    </xf>
    <xf numFmtId="0" fontId="33" fillId="0" borderId="31" xfId="13" applyFont="1" applyFill="1" applyBorder="1"/>
    <xf numFmtId="14" fontId="35" fillId="0" borderId="31" xfId="13" applyNumberFormat="1" applyFont="1" applyFill="1" applyBorder="1"/>
    <xf numFmtId="3" fontId="60" fillId="0" borderId="3" xfId="13" applyNumberFormat="1" applyFont="1" applyFill="1" applyBorder="1"/>
    <xf numFmtId="0" fontId="33" fillId="0" borderId="31" xfId="13" applyFont="1" applyFill="1" applyBorder="1" applyAlignment="1">
      <alignment horizontal="left" vertical="top" wrapText="1"/>
    </xf>
    <xf numFmtId="49" fontId="35" fillId="0" borderId="47" xfId="13" applyNumberFormat="1" applyFont="1" applyFill="1" applyBorder="1" applyAlignment="1">
      <alignment horizontal="center"/>
    </xf>
    <xf numFmtId="0" fontId="35" fillId="0" borderId="10" xfId="13" applyFont="1" applyFill="1" applyBorder="1"/>
    <xf numFmtId="0" fontId="35" fillId="0" borderId="10" xfId="13" applyFont="1" applyFill="1" applyBorder="1" applyAlignment="1">
      <alignment horizontal="center"/>
    </xf>
    <xf numFmtId="14" fontId="35" fillId="0" borderId="10" xfId="13" applyNumberFormat="1" applyFont="1" applyFill="1" applyBorder="1" applyAlignment="1">
      <alignment horizontal="center"/>
    </xf>
    <xf numFmtId="3" fontId="35" fillId="0" borderId="58" xfId="13" applyNumberFormat="1" applyFont="1" applyFill="1" applyBorder="1"/>
    <xf numFmtId="3" fontId="59" fillId="0" borderId="58" xfId="13" applyNumberFormat="1" applyFont="1" applyFill="1" applyBorder="1"/>
    <xf numFmtId="0" fontId="33" fillId="0" borderId="31" xfId="13" applyFont="1" applyFill="1" applyBorder="1" applyAlignment="1">
      <alignment wrapText="1"/>
    </xf>
    <xf numFmtId="14" fontId="33" fillId="0" borderId="31" xfId="13" applyNumberFormat="1" applyFont="1" applyFill="1" applyBorder="1"/>
    <xf numFmtId="3" fontId="33" fillId="0" borderId="31" xfId="13" applyNumberFormat="1" applyFont="1" applyFill="1" applyBorder="1" applyAlignment="1">
      <alignment horizontal="right" wrapText="1"/>
    </xf>
    <xf numFmtId="3" fontId="60" fillId="0" borderId="3" xfId="13" applyNumberFormat="1" applyFont="1" applyFill="1" applyBorder="1" applyAlignment="1">
      <alignment horizontal="right" wrapText="1"/>
    </xf>
    <xf numFmtId="0" fontId="33" fillId="0" borderId="91" xfId="13" applyFont="1" applyFill="1" applyBorder="1" applyAlignment="1">
      <alignment horizontal="center"/>
    </xf>
    <xf numFmtId="0" fontId="33" fillId="0" borderId="28" xfId="13" applyFont="1" applyFill="1" applyBorder="1"/>
    <xf numFmtId="14" fontId="35" fillId="0" borderId="28" xfId="13" applyNumberFormat="1" applyFont="1" applyFill="1" applyBorder="1"/>
    <xf numFmtId="3" fontId="33" fillId="0" borderId="87" xfId="13" applyNumberFormat="1" applyFont="1" applyFill="1" applyBorder="1"/>
    <xf numFmtId="3" fontId="35" fillId="0" borderId="35" xfId="13" applyNumberFormat="1" applyFont="1" applyFill="1" applyBorder="1"/>
    <xf numFmtId="3" fontId="33" fillId="0" borderId="28" xfId="13" applyNumberFormat="1" applyFont="1" applyFill="1" applyBorder="1" applyAlignment="1">
      <alignment horizontal="right" wrapText="1"/>
    </xf>
    <xf numFmtId="3" fontId="60" fillId="0" borderId="87" xfId="13" applyNumberFormat="1" applyFont="1" applyFill="1" applyBorder="1" applyAlignment="1">
      <alignment horizontal="right" wrapText="1"/>
    </xf>
    <xf numFmtId="0" fontId="35" fillId="0" borderId="0" xfId="13" applyFont="1" applyFill="1" applyAlignment="1"/>
    <xf numFmtId="0" fontId="59" fillId="0" borderId="0" xfId="13" applyFont="1" applyFill="1" applyAlignment="1"/>
    <xf numFmtId="0" fontId="33" fillId="0" borderId="0" xfId="13" applyFont="1" applyFill="1" applyAlignment="1"/>
    <xf numFmtId="0" fontId="60" fillId="0" borderId="0" xfId="13" applyFont="1" applyFill="1" applyAlignment="1"/>
    <xf numFmtId="0" fontId="15" fillId="0" borderId="54" xfId="0" applyFont="1" applyFill="1" applyBorder="1" applyAlignment="1">
      <alignment horizontal="center" vertical="top" wrapText="1"/>
    </xf>
    <xf numFmtId="0" fontId="15" fillId="0" borderId="21" xfId="0" applyFont="1" applyFill="1" applyBorder="1" applyAlignment="1">
      <alignment horizontal="center" vertical="top" wrapText="1"/>
    </xf>
    <xf numFmtId="3" fontId="15" fillId="0" borderId="61" xfId="22" applyNumberFormat="1" applyFont="1" applyFill="1" applyBorder="1" applyAlignment="1">
      <alignment horizontal="center" vertical="center" wrapText="1"/>
    </xf>
    <xf numFmtId="3" fontId="15" fillId="0" borderId="38" xfId="22" applyNumberFormat="1" applyFont="1" applyFill="1" applyBorder="1" applyAlignment="1">
      <alignment horizontal="center" vertical="center" wrapText="1"/>
    </xf>
    <xf numFmtId="0" fontId="15" fillId="0" borderId="38" xfId="22" applyFont="1" applyFill="1" applyBorder="1" applyAlignment="1">
      <alignment horizontal="center" vertical="center"/>
    </xf>
    <xf numFmtId="0" fontId="15" fillId="0" borderId="39" xfId="22" applyFont="1" applyFill="1" applyBorder="1" applyAlignment="1">
      <alignment horizontal="center" vertical="center"/>
    </xf>
    <xf numFmtId="0" fontId="16" fillId="0" borderId="99" xfId="0" applyFont="1" applyFill="1" applyBorder="1" applyAlignment="1">
      <alignment horizontal="center" vertical="top" wrapText="1"/>
    </xf>
    <xf numFmtId="0" fontId="16" fillId="0" borderId="23" xfId="0" applyFont="1" applyFill="1" applyBorder="1" applyAlignment="1">
      <alignment horizontal="center" vertical="top" wrapText="1"/>
    </xf>
    <xf numFmtId="3" fontId="16" fillId="0" borderId="98" xfId="22" applyNumberFormat="1" applyFont="1" applyFill="1" applyBorder="1" applyAlignment="1">
      <alignment horizontal="center" vertical="center" wrapText="1"/>
    </xf>
    <xf numFmtId="3" fontId="16" fillId="0" borderId="28" xfId="22" applyNumberFormat="1" applyFont="1" applyFill="1" applyBorder="1" applyAlignment="1">
      <alignment horizontal="center" vertical="center" wrapText="1"/>
    </xf>
    <xf numFmtId="0" fontId="16" fillId="0" borderId="28" xfId="22" applyFont="1" applyFill="1" applyBorder="1" applyAlignment="1">
      <alignment horizontal="center" vertical="center"/>
    </xf>
    <xf numFmtId="0" fontId="16" fillId="0" borderId="29" xfId="22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top" wrapText="1"/>
    </xf>
    <xf numFmtId="3" fontId="16" fillId="0" borderId="30" xfId="0" applyNumberFormat="1" applyFont="1" applyFill="1" applyBorder="1" applyAlignment="1">
      <alignment horizontal="right" vertical="top" wrapText="1"/>
    </xf>
    <xf numFmtId="3" fontId="16" fillId="0" borderId="61" xfId="0" applyNumberFormat="1" applyFont="1" applyFill="1" applyBorder="1" applyAlignment="1">
      <alignment horizontal="right" vertical="top" wrapText="1"/>
    </xf>
    <xf numFmtId="0" fontId="16" fillId="0" borderId="14" xfId="0" applyFont="1" applyFill="1" applyBorder="1" applyAlignment="1">
      <alignment horizontal="left" vertical="top" wrapText="1"/>
    </xf>
    <xf numFmtId="3" fontId="16" fillId="0" borderId="24" xfId="0" applyNumberFormat="1" applyFont="1" applyFill="1" applyBorder="1" applyAlignment="1">
      <alignment horizontal="right" vertical="top" wrapText="1"/>
    </xf>
    <xf numFmtId="3" fontId="16" fillId="0" borderId="63" xfId="0" applyNumberFormat="1" applyFont="1" applyFill="1" applyBorder="1" applyAlignment="1">
      <alignment horizontal="right" vertical="top" wrapText="1"/>
    </xf>
    <xf numFmtId="0" fontId="15" fillId="0" borderId="58" xfId="0" applyFont="1" applyFill="1" applyBorder="1" applyAlignment="1">
      <alignment horizontal="left" vertical="top" wrapText="1"/>
    </xf>
    <xf numFmtId="3" fontId="15" fillId="0" borderId="34" xfId="0" applyNumberFormat="1" applyFont="1" applyFill="1" applyBorder="1" applyAlignment="1">
      <alignment horizontal="right" vertical="top" wrapText="1"/>
    </xf>
    <xf numFmtId="3" fontId="15" fillId="0" borderId="11" xfId="0" applyNumberFormat="1" applyFont="1" applyFill="1" applyBorder="1" applyAlignment="1">
      <alignment horizontal="right" vertical="top" wrapText="1"/>
    </xf>
    <xf numFmtId="3" fontId="16" fillId="0" borderId="60" xfId="0" applyNumberFormat="1" applyFont="1" applyFill="1" applyBorder="1" applyAlignment="1">
      <alignment horizontal="right" vertical="top" wrapText="1"/>
    </xf>
    <xf numFmtId="0" fontId="15" fillId="0" borderId="3" xfId="0" applyFont="1" applyFill="1" applyBorder="1" applyAlignment="1">
      <alignment horizontal="left" vertical="top" wrapText="1"/>
    </xf>
    <xf numFmtId="3" fontId="15" fillId="0" borderId="46" xfId="0" applyNumberFormat="1" applyFont="1" applyFill="1" applyBorder="1" applyAlignment="1">
      <alignment horizontal="right" vertical="top" wrapText="1"/>
    </xf>
    <xf numFmtId="3" fontId="15" fillId="0" borderId="97" xfId="0" applyNumberFormat="1" applyFont="1" applyFill="1" applyBorder="1" applyAlignment="1">
      <alignment horizontal="right" vertical="top" wrapText="1"/>
    </xf>
    <xf numFmtId="3" fontId="19" fillId="0" borderId="0" xfId="13" applyNumberFormat="1" applyFont="1" applyFill="1"/>
    <xf numFmtId="3" fontId="33" fillId="0" borderId="0" xfId="13" applyNumberFormat="1" applyFont="1" applyFill="1"/>
    <xf numFmtId="3" fontId="35" fillId="0" borderId="0" xfId="13" applyNumberFormat="1" applyFont="1" applyFill="1" applyBorder="1"/>
    <xf numFmtId="3" fontId="59" fillId="0" borderId="0" xfId="13" applyNumberFormat="1" applyFont="1" applyFill="1"/>
    <xf numFmtId="0" fontId="59" fillId="0" borderId="0" xfId="13" applyFont="1" applyFill="1"/>
    <xf numFmtId="3" fontId="60" fillId="0" borderId="0" xfId="13" applyNumberFormat="1" applyFont="1" applyFill="1"/>
    <xf numFmtId="10" fontId="67" fillId="0" borderId="0" xfId="36" applyNumberFormat="1" applyFont="1" applyAlignment="1">
      <alignment horizontal="center"/>
    </xf>
    <xf numFmtId="10" fontId="18" fillId="0" borderId="0" xfId="36" applyNumberFormat="1" applyFont="1" applyAlignment="1">
      <alignment horizontal="center"/>
    </xf>
    <xf numFmtId="10" fontId="18" fillId="0" borderId="12" xfId="36" applyNumberFormat="1" applyFont="1" applyBorder="1" applyAlignment="1">
      <alignment horizontal="center" vertical="center" wrapText="1"/>
    </xf>
    <xf numFmtId="10" fontId="18" fillId="0" borderId="100" xfId="36" applyNumberFormat="1" applyFont="1" applyBorder="1" applyAlignment="1">
      <alignment horizontal="center"/>
    </xf>
    <xf numFmtId="10" fontId="18" fillId="0" borderId="12" xfId="36" applyNumberFormat="1" applyFont="1" applyBorder="1" applyAlignment="1">
      <alignment horizontal="center"/>
    </xf>
    <xf numFmtId="10" fontId="17" fillId="0" borderId="94" xfId="36" applyNumberFormat="1" applyFont="1" applyBorder="1" applyAlignment="1">
      <alignment horizontal="center"/>
    </xf>
    <xf numFmtId="10" fontId="17" fillId="0" borderId="93" xfId="36" applyNumberFormat="1" applyFont="1" applyBorder="1" applyAlignment="1">
      <alignment horizontal="center"/>
    </xf>
    <xf numFmtId="10" fontId="17" fillId="0" borderId="93" xfId="36" applyNumberFormat="1" applyFont="1" applyFill="1" applyBorder="1" applyAlignment="1">
      <alignment horizontal="center"/>
    </xf>
    <xf numFmtId="10" fontId="17" fillId="0" borderId="88" xfId="36" applyNumberFormat="1" applyFont="1" applyBorder="1" applyAlignment="1">
      <alignment horizontal="center"/>
    </xf>
    <xf numFmtId="10" fontId="18" fillId="0" borderId="92" xfId="36" applyNumberFormat="1" applyFont="1" applyBorder="1" applyAlignment="1">
      <alignment horizontal="center"/>
    </xf>
    <xf numFmtId="10" fontId="18" fillId="0" borderId="0" xfId="36" applyNumberFormat="1" applyFont="1" applyBorder="1" applyAlignment="1">
      <alignment horizontal="center"/>
    </xf>
    <xf numFmtId="10" fontId="18" fillId="0" borderId="9" xfId="36" applyNumberFormat="1" applyFont="1" applyBorder="1" applyAlignment="1">
      <alignment horizontal="center"/>
    </xf>
    <xf numFmtId="10" fontId="18" fillId="0" borderId="39" xfId="36" applyNumberFormat="1" applyFont="1" applyBorder="1" applyAlignment="1">
      <alignment horizontal="center"/>
    </xf>
    <xf numFmtId="10" fontId="17" fillId="0" borderId="17" xfId="36" applyNumberFormat="1" applyFont="1" applyBorder="1" applyAlignment="1">
      <alignment horizontal="center"/>
    </xf>
    <xf numFmtId="10" fontId="17" fillId="0" borderId="26" xfId="36" applyNumberFormat="1" applyFont="1" applyBorder="1" applyAlignment="1">
      <alignment horizontal="center"/>
    </xf>
    <xf numFmtId="10" fontId="17" fillId="0" borderId="18" xfId="36" applyNumberFormat="1" applyFont="1" applyBorder="1" applyAlignment="1">
      <alignment horizontal="center"/>
    </xf>
    <xf numFmtId="10" fontId="17" fillId="2" borderId="18" xfId="36" applyNumberFormat="1" applyFont="1" applyFill="1" applyBorder="1" applyAlignment="1">
      <alignment horizontal="center"/>
    </xf>
    <xf numFmtId="10" fontId="18" fillId="0" borderId="29" xfId="36" applyNumberFormat="1" applyFont="1" applyBorder="1" applyAlignment="1">
      <alignment horizontal="center"/>
    </xf>
    <xf numFmtId="10" fontId="17" fillId="0" borderId="0" xfId="36" applyNumberFormat="1" applyFont="1" applyAlignment="1">
      <alignment horizontal="center"/>
    </xf>
    <xf numFmtId="10" fontId="17" fillId="0" borderId="36" xfId="36" applyNumberFormat="1" applyFont="1" applyBorder="1" applyAlignment="1">
      <alignment horizontal="center"/>
    </xf>
    <xf numFmtId="10" fontId="18" fillId="0" borderId="26" xfId="36" applyNumberFormat="1" applyFont="1" applyBorder="1" applyAlignment="1">
      <alignment horizontal="center"/>
    </xf>
    <xf numFmtId="10" fontId="18" fillId="0" borderId="50" xfId="36" applyNumberFormat="1" applyFont="1" applyBorder="1" applyAlignment="1">
      <alignment horizontal="center"/>
    </xf>
    <xf numFmtId="10" fontId="17" fillId="0" borderId="18" xfId="36" applyNumberFormat="1" applyFont="1" applyFill="1" applyBorder="1" applyAlignment="1">
      <alignment horizontal="center"/>
    </xf>
    <xf numFmtId="3" fontId="15" fillId="0" borderId="41" xfId="0" applyNumberFormat="1" applyFont="1" applyBorder="1" applyAlignment="1">
      <alignment horizontal="center" vertical="center" wrapText="1"/>
    </xf>
    <xf numFmtId="3" fontId="15" fillId="0" borderId="58" xfId="0" applyNumberFormat="1" applyFont="1" applyBorder="1" applyAlignment="1">
      <alignment horizontal="center" vertical="center" wrapText="1"/>
    </xf>
    <xf numFmtId="3" fontId="15" fillId="0" borderId="47" xfId="0" applyNumberFormat="1" applyFont="1" applyBorder="1" applyAlignment="1">
      <alignment horizontal="center" vertical="center" wrapText="1"/>
    </xf>
    <xf numFmtId="0" fontId="20" fillId="0" borderId="0" xfId="0" applyFont="1" applyFill="1" applyBorder="1"/>
    <xf numFmtId="10" fontId="17" fillId="0" borderId="39" xfId="36" applyNumberFormat="1" applyFont="1" applyBorder="1" applyAlignment="1">
      <alignment horizontal="center"/>
    </xf>
    <xf numFmtId="164" fontId="11" fillId="0" borderId="60" xfId="11" applyNumberFormat="1" applyFont="1" applyBorder="1" applyAlignment="1">
      <alignment horizontal="center" vertical="center"/>
    </xf>
    <xf numFmtId="164" fontId="11" fillId="0" borderId="8" xfId="11" applyNumberFormat="1" applyFont="1" applyBorder="1" applyAlignment="1">
      <alignment horizontal="center" vertical="center" wrapText="1"/>
    </xf>
    <xf numFmtId="164" fontId="11" fillId="0" borderId="30" xfId="11" applyNumberFormat="1" applyFont="1" applyBorder="1" applyAlignment="1">
      <alignment horizontal="center" vertical="center" wrapText="1"/>
    </xf>
    <xf numFmtId="164" fontId="12" fillId="0" borderId="0" xfId="0" applyNumberFormat="1" applyFont="1"/>
    <xf numFmtId="0" fontId="11" fillId="0" borderId="55" xfId="11" applyFont="1" applyBorder="1" applyAlignment="1">
      <alignment horizontal="left"/>
    </xf>
    <xf numFmtId="164" fontId="11" fillId="0" borderId="60" xfId="11" applyNumberFormat="1" applyFont="1" applyBorder="1" applyAlignment="1"/>
    <xf numFmtId="164" fontId="11" fillId="0" borderId="17" xfId="11" applyNumberFormat="1" applyFont="1" applyBorder="1" applyAlignment="1"/>
    <xf numFmtId="164" fontId="11" fillId="0" borderId="55" xfId="11" applyNumberFormat="1" applyFont="1" applyBorder="1" applyAlignment="1"/>
    <xf numFmtId="164" fontId="11" fillId="0" borderId="8" xfId="11" applyNumberFormat="1" applyFont="1" applyBorder="1" applyAlignment="1"/>
    <xf numFmtId="164" fontId="11" fillId="0" borderId="30" xfId="11" applyNumberFormat="1" applyFont="1" applyBorder="1" applyAlignment="1"/>
    <xf numFmtId="10" fontId="10" fillId="0" borderId="18" xfId="36" applyNumberFormat="1" applyFont="1" applyBorder="1" applyAlignment="1">
      <alignment horizontal="center"/>
    </xf>
    <xf numFmtId="166" fontId="12" fillId="0" borderId="0" xfId="0" applyNumberFormat="1" applyFont="1"/>
    <xf numFmtId="0" fontId="12" fillId="0" borderId="49" xfId="11" applyFont="1" applyBorder="1" applyAlignment="1">
      <alignment horizontal="left" indent="1"/>
    </xf>
    <xf numFmtId="164" fontId="12" fillId="0" borderId="62" xfId="11" applyNumberFormat="1" applyFont="1" applyBorder="1" applyAlignment="1"/>
    <xf numFmtId="164" fontId="12" fillId="0" borderId="18" xfId="11" applyNumberFormat="1" applyFont="1" applyBorder="1" applyAlignment="1"/>
    <xf numFmtId="164" fontId="12" fillId="0" borderId="49" xfId="11" applyNumberFormat="1" applyFont="1" applyBorder="1" applyAlignment="1"/>
    <xf numFmtId="164" fontId="12" fillId="0" borderId="56" xfId="11" applyNumberFormat="1" applyFont="1" applyBorder="1" applyAlignment="1"/>
    <xf numFmtId="10" fontId="21" fillId="0" borderId="18" xfId="36" applyNumberFormat="1" applyFont="1" applyBorder="1" applyAlignment="1">
      <alignment horizontal="center"/>
    </xf>
    <xf numFmtId="0" fontId="21" fillId="0" borderId="49" xfId="11" applyFont="1" applyBorder="1" applyAlignment="1">
      <alignment horizontal="left" indent="1"/>
    </xf>
    <xf numFmtId="164" fontId="21" fillId="0" borderId="49" xfId="11" applyNumberFormat="1" applyFont="1" applyBorder="1" applyAlignment="1"/>
    <xf numFmtId="164" fontId="21" fillId="0" borderId="56" xfId="11" applyNumberFormat="1" applyFont="1" applyBorder="1" applyAlignment="1"/>
    <xf numFmtId="164" fontId="10" fillId="0" borderId="30" xfId="11" applyNumberFormat="1" applyFont="1" applyBorder="1" applyAlignment="1"/>
    <xf numFmtId="0" fontId="21" fillId="0" borderId="0" xfId="0" applyFont="1"/>
    <xf numFmtId="164" fontId="21" fillId="0" borderId="0" xfId="0" applyNumberFormat="1" applyFont="1"/>
    <xf numFmtId="166" fontId="21" fillId="0" borderId="0" xfId="0" applyNumberFormat="1" applyFont="1"/>
    <xf numFmtId="10" fontId="10" fillId="0" borderId="17" xfId="36" applyNumberFormat="1" applyFont="1" applyBorder="1" applyAlignment="1">
      <alignment horizontal="center"/>
    </xf>
    <xf numFmtId="166" fontId="7" fillId="0" borderId="0" xfId="0" applyNumberFormat="1" applyFont="1"/>
    <xf numFmtId="166" fontId="9" fillId="0" borderId="0" xfId="0" applyNumberFormat="1" applyFont="1"/>
    <xf numFmtId="166" fontId="11" fillId="0" borderId="0" xfId="0" applyNumberFormat="1" applyFont="1"/>
    <xf numFmtId="4" fontId="7" fillId="0" borderId="0" xfId="11" applyNumberFormat="1" applyFont="1" applyAlignment="1">
      <alignment horizontal="right"/>
    </xf>
    <xf numFmtId="164" fontId="12" fillId="0" borderId="39" xfId="11" applyNumberFormat="1" applyFont="1" applyBorder="1" applyAlignment="1">
      <alignment horizontal="center" vertical="center"/>
    </xf>
    <xf numFmtId="10" fontId="21" fillId="0" borderId="36" xfId="36" applyNumberFormat="1" applyFont="1" applyBorder="1" applyAlignment="1">
      <alignment horizontal="center"/>
    </xf>
    <xf numFmtId="10" fontId="10" fillId="0" borderId="9" xfId="36" applyNumberFormat="1" applyFont="1" applyBorder="1" applyAlignment="1">
      <alignment horizontal="center"/>
    </xf>
    <xf numFmtId="164" fontId="11" fillId="0" borderId="39" xfId="11" applyNumberFormat="1" applyFont="1" applyBorder="1" applyAlignment="1"/>
    <xf numFmtId="164" fontId="12" fillId="0" borderId="17" xfId="11" applyNumberFormat="1" applyFont="1" applyBorder="1" applyAlignment="1"/>
    <xf numFmtId="4" fontId="12" fillId="0" borderId="39" xfId="11" applyNumberFormat="1" applyFont="1" applyBorder="1" applyAlignment="1">
      <alignment horizontal="center" vertical="center"/>
    </xf>
    <xf numFmtId="164" fontId="11" fillId="0" borderId="9" xfId="11" applyNumberFormat="1" applyFont="1" applyBorder="1" applyAlignment="1"/>
    <xf numFmtId="3" fontId="15" fillId="0" borderId="11" xfId="0" applyNumberFormat="1" applyFont="1" applyFill="1" applyBorder="1" applyAlignment="1">
      <alignment horizontal="center" vertical="center" wrapText="1"/>
    </xf>
    <xf numFmtId="10" fontId="18" fillId="0" borderId="12" xfId="36" applyNumberFormat="1" applyFont="1" applyFill="1" applyBorder="1" applyAlignment="1">
      <alignment horizontal="center" vertical="center" wrapText="1"/>
    </xf>
    <xf numFmtId="10" fontId="21" fillId="0" borderId="39" xfId="36" applyNumberFormat="1" applyFont="1" applyFill="1" applyBorder="1" applyAlignment="1" applyProtection="1">
      <alignment horizontal="center" vertical="center"/>
      <protection locked="0"/>
    </xf>
    <xf numFmtId="10" fontId="21" fillId="0" borderId="18" xfId="36" applyNumberFormat="1" applyFont="1" applyFill="1" applyBorder="1" applyAlignment="1" applyProtection="1">
      <alignment horizontal="center" vertical="center"/>
      <protection locked="0"/>
    </xf>
    <xf numFmtId="10" fontId="10" fillId="0" borderId="9" xfId="36" applyNumberFormat="1" applyFont="1" applyFill="1" applyBorder="1" applyAlignment="1">
      <alignment horizontal="center" vertical="center"/>
    </xf>
    <xf numFmtId="10" fontId="21" fillId="0" borderId="26" xfId="36" applyNumberFormat="1" applyFont="1" applyFill="1" applyBorder="1" applyAlignment="1" applyProtection="1">
      <alignment horizontal="center" vertical="center"/>
      <protection locked="0"/>
    </xf>
    <xf numFmtId="3" fontId="12" fillId="0" borderId="17" xfId="11" applyNumberFormat="1" applyFont="1" applyFill="1" applyBorder="1" applyAlignment="1" applyProtection="1">
      <alignment vertical="center"/>
      <protection locked="0"/>
    </xf>
    <xf numFmtId="3" fontId="12" fillId="0" borderId="16" xfId="11" applyNumberFormat="1" applyFont="1" applyFill="1" applyBorder="1" applyAlignment="1" applyProtection="1">
      <alignment vertical="center"/>
      <protection locked="0"/>
    </xf>
    <xf numFmtId="10" fontId="68" fillId="0" borderId="0" xfId="36" applyNumberFormat="1" applyFont="1" applyAlignment="1">
      <alignment horizontal="center"/>
    </xf>
    <xf numFmtId="10" fontId="21" fillId="0" borderId="0" xfId="36" applyNumberFormat="1" applyFont="1" applyAlignment="1">
      <alignment horizontal="center"/>
    </xf>
    <xf numFmtId="10" fontId="21" fillId="0" borderId="107" xfId="36" applyNumberFormat="1" applyFont="1" applyBorder="1" applyAlignment="1">
      <alignment horizontal="center" wrapText="1"/>
    </xf>
    <xf numFmtId="10" fontId="21" fillId="0" borderId="105" xfId="36" applyNumberFormat="1" applyFont="1" applyBorder="1" applyAlignment="1">
      <alignment horizontal="center" wrapText="1"/>
    </xf>
    <xf numFmtId="10" fontId="21" fillId="0" borderId="106" xfId="36" applyNumberFormat="1" applyFont="1" applyBorder="1" applyAlignment="1">
      <alignment horizontal="center" wrapText="1"/>
    </xf>
    <xf numFmtId="10" fontId="10" fillId="0" borderId="9" xfId="36" applyNumberFormat="1" applyFont="1" applyBorder="1" applyAlignment="1">
      <alignment horizontal="center" wrapText="1"/>
    </xf>
    <xf numFmtId="10" fontId="10" fillId="0" borderId="29" xfId="36" applyNumberFormat="1" applyFont="1" applyBorder="1" applyAlignment="1">
      <alignment horizontal="center" wrapText="1"/>
    </xf>
    <xf numFmtId="10" fontId="10" fillId="0" borderId="0" xfId="36" applyNumberFormat="1" applyFont="1" applyFill="1" applyBorder="1" applyAlignment="1" applyProtection="1">
      <alignment horizontal="center" vertical="center" wrapText="1"/>
    </xf>
    <xf numFmtId="10" fontId="10" fillId="0" borderId="0" xfId="36" applyNumberFormat="1" applyFont="1" applyFill="1" applyBorder="1" applyAlignment="1" applyProtection="1">
      <alignment horizontal="center"/>
    </xf>
    <xf numFmtId="10" fontId="21" fillId="0" borderId="39" xfId="36" applyNumberFormat="1" applyFont="1" applyFill="1" applyBorder="1" applyAlignment="1" applyProtection="1">
      <alignment horizontal="center"/>
      <protection locked="0"/>
    </xf>
    <xf numFmtId="10" fontId="21" fillId="0" borderId="18" xfId="36" applyNumberFormat="1" applyFont="1" applyFill="1" applyBorder="1" applyAlignment="1" applyProtection="1">
      <alignment horizontal="center"/>
      <protection locked="0"/>
    </xf>
    <xf numFmtId="10" fontId="21" fillId="0" borderId="26" xfId="36" applyNumberFormat="1" applyFont="1" applyFill="1" applyBorder="1" applyAlignment="1" applyProtection="1">
      <alignment horizontal="center"/>
      <protection locked="0"/>
    </xf>
    <xf numFmtId="10" fontId="10" fillId="0" borderId="9" xfId="36" applyNumberFormat="1" applyFont="1" applyFill="1" applyBorder="1" applyAlignment="1" applyProtection="1">
      <alignment horizontal="center"/>
    </xf>
    <xf numFmtId="10" fontId="10" fillId="0" borderId="9" xfId="36" applyNumberFormat="1" applyFont="1" applyFill="1" applyBorder="1" applyAlignment="1" applyProtection="1">
      <alignment horizontal="center" vertical="center" wrapText="1"/>
    </xf>
    <xf numFmtId="10" fontId="21" fillId="0" borderId="17" xfId="36" applyNumberFormat="1" applyFont="1" applyFill="1" applyBorder="1" applyAlignment="1" applyProtection="1">
      <alignment horizontal="center" vertical="center" wrapText="1"/>
      <protection locked="0"/>
    </xf>
    <xf numFmtId="10" fontId="10" fillId="0" borderId="9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26" xfId="36" applyNumberFormat="1" applyFont="1" applyFill="1" applyBorder="1" applyAlignment="1" applyProtection="1">
      <alignment horizontal="center" vertical="center" wrapText="1"/>
      <protection locked="0"/>
    </xf>
    <xf numFmtId="10" fontId="10" fillId="0" borderId="10" xfId="36" applyNumberFormat="1" applyFont="1" applyFill="1" applyBorder="1" applyAlignment="1">
      <alignment horizontal="center" vertical="center" wrapText="1"/>
    </xf>
    <xf numFmtId="10" fontId="10" fillId="0" borderId="9" xfId="36" applyNumberFormat="1" applyFont="1" applyFill="1" applyBorder="1" applyAlignment="1">
      <alignment horizontal="center" vertical="center" wrapText="1"/>
    </xf>
    <xf numFmtId="10" fontId="21" fillId="0" borderId="40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39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20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18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93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37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36" xfId="36" applyNumberFormat="1" applyFont="1" applyFill="1" applyBorder="1" applyAlignment="1" applyProtection="1">
      <alignment horizontal="center" vertical="center" wrapText="1"/>
      <protection locked="0"/>
    </xf>
    <xf numFmtId="10" fontId="10" fillId="0" borderId="39" xfId="36" applyNumberFormat="1" applyFont="1" applyFill="1" applyBorder="1" applyAlignment="1" applyProtection="1">
      <alignment horizontal="center" vertical="center"/>
      <protection locked="0"/>
    </xf>
    <xf numFmtId="10" fontId="10" fillId="0" borderId="17" xfId="36" applyNumberFormat="1" applyFont="1" applyFill="1" applyBorder="1" applyAlignment="1" applyProtection="1">
      <alignment horizontal="center" vertical="center"/>
      <protection locked="0"/>
    </xf>
    <xf numFmtId="10" fontId="10" fillId="0" borderId="18" xfId="36" applyNumberFormat="1" applyFont="1" applyFill="1" applyBorder="1" applyAlignment="1" applyProtection="1">
      <alignment horizontal="center" vertical="center"/>
      <protection locked="0"/>
    </xf>
    <xf numFmtId="10" fontId="10" fillId="0" borderId="9" xfId="36" applyNumberFormat="1" applyFont="1" applyFill="1" applyBorder="1" applyAlignment="1" applyProtection="1">
      <alignment horizontal="center" vertical="center"/>
    </xf>
    <xf numFmtId="10" fontId="10" fillId="0" borderId="26" xfId="36" applyNumberFormat="1" applyFont="1" applyFill="1" applyBorder="1" applyAlignment="1" applyProtection="1">
      <alignment horizontal="center" vertical="center"/>
      <protection locked="0"/>
    </xf>
    <xf numFmtId="3" fontId="21" fillId="0" borderId="0" xfId="36" applyNumberFormat="1" applyFont="1" applyAlignment="1">
      <alignment horizontal="center"/>
    </xf>
    <xf numFmtId="10" fontId="19" fillId="0" borderId="0" xfId="36" applyNumberFormat="1" applyFont="1" applyAlignment="1">
      <alignment horizontal="right"/>
    </xf>
    <xf numFmtId="10" fontId="18" fillId="0" borderId="0" xfId="36" applyNumberFormat="1" applyFont="1" applyAlignment="1">
      <alignment horizontal="right"/>
    </xf>
    <xf numFmtId="10" fontId="18" fillId="0" borderId="32" xfId="36" applyNumberFormat="1" applyFont="1" applyBorder="1" applyAlignment="1">
      <alignment horizontal="center"/>
    </xf>
    <xf numFmtId="10" fontId="17" fillId="0" borderId="0" xfId="36" applyNumberFormat="1" applyFont="1" applyBorder="1" applyAlignment="1">
      <alignment horizontal="center"/>
    </xf>
    <xf numFmtId="49" fontId="17" fillId="7" borderId="22" xfId="0" applyNumberFormat="1" applyFont="1" applyFill="1" applyBorder="1" applyAlignment="1">
      <alignment horizontal="center"/>
    </xf>
    <xf numFmtId="49" fontId="17" fillId="7" borderId="42" xfId="0" applyNumberFormat="1" applyFont="1" applyFill="1" applyBorder="1" applyAlignment="1">
      <alignment horizontal="left" indent="3"/>
    </xf>
    <xf numFmtId="3" fontId="17" fillId="7" borderId="49" xfId="0" applyNumberFormat="1" applyFont="1" applyFill="1" applyBorder="1"/>
    <xf numFmtId="3" fontId="17" fillId="7" borderId="18" xfId="0" applyNumberFormat="1" applyFont="1" applyFill="1" applyBorder="1"/>
    <xf numFmtId="3" fontId="17" fillId="7" borderId="42" xfId="0" applyNumberFormat="1" applyFont="1" applyFill="1" applyBorder="1"/>
    <xf numFmtId="3" fontId="17" fillId="7" borderId="56" xfId="0" applyNumberFormat="1" applyFont="1" applyFill="1" applyBorder="1"/>
    <xf numFmtId="10" fontId="17" fillId="7" borderId="18" xfId="36" applyNumberFormat="1" applyFont="1" applyFill="1" applyBorder="1" applyAlignment="1">
      <alignment horizontal="center"/>
    </xf>
    <xf numFmtId="0" fontId="6" fillId="0" borderId="0" xfId="11" applyFont="1"/>
    <xf numFmtId="3" fontId="17" fillId="0" borderId="0" xfId="0" applyNumberFormat="1" applyFont="1" applyBorder="1"/>
    <xf numFmtId="10" fontId="21" fillId="0" borderId="26" xfId="36" applyNumberFormat="1" applyFont="1" applyFill="1" applyBorder="1" applyAlignment="1">
      <alignment horizontal="center" vertical="center" wrapText="1"/>
    </xf>
    <xf numFmtId="10" fontId="69" fillId="0" borderId="26" xfId="36" applyNumberFormat="1" applyFont="1" applyFill="1" applyBorder="1" applyAlignment="1">
      <alignment horizontal="center" vertical="center" wrapText="1"/>
    </xf>
    <xf numFmtId="10" fontId="17" fillId="0" borderId="12" xfId="36" applyNumberFormat="1" applyFont="1" applyFill="1" applyBorder="1" applyAlignment="1">
      <alignment horizontal="center" vertical="center" wrapText="1"/>
    </xf>
    <xf numFmtId="10" fontId="10" fillId="0" borderId="18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32" xfId="36" applyNumberFormat="1" applyFont="1" applyFill="1" applyBorder="1" applyAlignment="1" applyProtection="1">
      <alignment horizontal="center" vertical="center" wrapText="1"/>
    </xf>
    <xf numFmtId="10" fontId="21" fillId="0" borderId="39" xfId="36" applyNumberFormat="1" applyFont="1" applyFill="1" applyBorder="1" applyAlignment="1" applyProtection="1">
      <alignment horizontal="center" vertical="center" wrapText="1"/>
    </xf>
    <xf numFmtId="10" fontId="68" fillId="0" borderId="0" xfId="36" applyNumberFormat="1" applyFont="1" applyFill="1" applyAlignment="1">
      <alignment horizontal="center" vertical="center" wrapText="1"/>
    </xf>
    <xf numFmtId="10" fontId="21" fillId="0" borderId="29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85" xfId="36" applyNumberFormat="1" applyFont="1" applyFill="1" applyBorder="1" applyAlignment="1" applyProtection="1">
      <alignment horizontal="center" vertical="center" wrapText="1"/>
    </xf>
    <xf numFmtId="10" fontId="21" fillId="0" borderId="58" xfId="36" applyNumberFormat="1" applyFont="1" applyFill="1" applyBorder="1" applyAlignment="1">
      <alignment horizontal="center" vertical="center" wrapText="1"/>
    </xf>
    <xf numFmtId="10" fontId="7" fillId="0" borderId="0" xfId="36" applyNumberFormat="1" applyFont="1" applyFill="1" applyAlignment="1">
      <alignment horizontal="right"/>
    </xf>
    <xf numFmtId="10" fontId="10" fillId="0" borderId="0" xfId="36" applyNumberFormat="1" applyFont="1" applyFill="1" applyAlignment="1">
      <alignment horizontal="center" vertical="center"/>
    </xf>
    <xf numFmtId="10" fontId="10" fillId="0" borderId="0" xfId="36" applyNumberFormat="1" applyFont="1" applyFill="1" applyAlignment="1">
      <alignment horizontal="right" vertical="center"/>
    </xf>
    <xf numFmtId="10" fontId="68" fillId="0" borderId="0" xfId="36" applyNumberFormat="1" applyFont="1" applyFill="1" applyAlignment="1">
      <alignment horizontal="center"/>
    </xf>
    <xf numFmtId="10" fontId="10" fillId="0" borderId="29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0" xfId="36" applyNumberFormat="1" applyFont="1" applyFill="1" applyAlignment="1">
      <alignment horizontal="center"/>
    </xf>
    <xf numFmtId="10" fontId="12" fillId="0" borderId="26" xfId="36" applyNumberFormat="1" applyFont="1" applyBorder="1" applyAlignment="1" applyProtection="1">
      <alignment horizontal="center" vertical="center"/>
      <protection locked="0"/>
    </xf>
    <xf numFmtId="10" fontId="10" fillId="0" borderId="32" xfId="36" applyNumberFormat="1" applyFont="1" applyBorder="1" applyAlignment="1">
      <alignment horizontal="center" vertical="center" wrapText="1"/>
    </xf>
    <xf numFmtId="10" fontId="21" fillId="0" borderId="18" xfId="36" applyNumberFormat="1" applyFont="1" applyBorder="1" applyAlignment="1" applyProtection="1">
      <alignment horizontal="center" vertical="center"/>
      <protection locked="0"/>
    </xf>
    <xf numFmtId="10" fontId="21" fillId="0" borderId="26" xfId="36" applyNumberFormat="1" applyFont="1" applyBorder="1" applyAlignment="1" applyProtection="1">
      <alignment horizontal="center" vertical="center"/>
      <protection locked="0"/>
    </xf>
    <xf numFmtId="10" fontId="10" fillId="0" borderId="39" xfId="36" applyNumberFormat="1" applyFont="1" applyFill="1" applyBorder="1" applyAlignment="1">
      <alignment horizontal="center" vertical="center"/>
    </xf>
    <xf numFmtId="10" fontId="10" fillId="0" borderId="17" xfId="36" applyNumberFormat="1" applyFont="1" applyFill="1" applyBorder="1" applyAlignment="1">
      <alignment horizontal="center" vertical="center"/>
    </xf>
    <xf numFmtId="10" fontId="24" fillId="0" borderId="0" xfId="36" applyNumberFormat="1" applyFont="1" applyFill="1" applyAlignment="1">
      <alignment horizontal="center" vertical="center" wrapText="1"/>
    </xf>
    <xf numFmtId="10" fontId="10" fillId="0" borderId="0" xfId="36" applyNumberFormat="1" applyFont="1" applyFill="1" applyAlignment="1">
      <alignment horizontal="center" vertical="center" wrapText="1"/>
    </xf>
    <xf numFmtId="10" fontId="10" fillId="0" borderId="17" xfId="36" applyNumberFormat="1" applyFont="1" applyFill="1" applyBorder="1" applyAlignment="1" applyProtection="1">
      <alignment horizontal="center" vertical="center" wrapText="1"/>
      <protection locked="0"/>
    </xf>
    <xf numFmtId="10" fontId="10" fillId="0" borderId="17" xfId="36" applyNumberFormat="1" applyFont="1" applyFill="1" applyBorder="1" applyAlignment="1" applyProtection="1">
      <alignment horizontal="center" wrapText="1"/>
      <protection locked="0"/>
    </xf>
    <xf numFmtId="10" fontId="10" fillId="0" borderId="26" xfId="36" applyNumberFormat="1" applyFont="1" applyFill="1" applyBorder="1" applyAlignment="1" applyProtection="1">
      <alignment horizontal="center" vertical="center" wrapText="1"/>
      <protection locked="0"/>
    </xf>
    <xf numFmtId="10" fontId="10" fillId="2" borderId="9" xfId="36" applyNumberFormat="1" applyFont="1" applyFill="1" applyBorder="1" applyAlignment="1" applyProtection="1">
      <alignment horizontal="center" vertical="center" wrapText="1"/>
      <protection locked="0"/>
    </xf>
    <xf numFmtId="10" fontId="10" fillId="0" borderId="50" xfId="36" applyNumberFormat="1" applyFont="1" applyFill="1" applyBorder="1" applyAlignment="1" applyProtection="1">
      <alignment horizontal="center" vertical="center" wrapText="1"/>
      <protection locked="0"/>
    </xf>
    <xf numFmtId="10" fontId="10" fillId="0" borderId="39" xfId="36" applyNumberFormat="1" applyFont="1" applyFill="1" applyBorder="1" applyAlignment="1" applyProtection="1">
      <alignment horizontal="center" vertical="center" wrapText="1"/>
      <protection locked="0"/>
    </xf>
    <xf numFmtId="10" fontId="10" fillId="0" borderId="32" xfId="36" applyNumberFormat="1" applyFont="1" applyFill="1" applyBorder="1" applyAlignment="1" applyProtection="1">
      <alignment horizontal="center" vertical="center" wrapText="1"/>
      <protection locked="0"/>
    </xf>
    <xf numFmtId="10" fontId="10" fillId="2" borderId="9" xfId="36" applyNumberFormat="1" applyFont="1" applyFill="1" applyBorder="1" applyAlignment="1">
      <alignment horizontal="center" vertical="center" wrapText="1"/>
    </xf>
    <xf numFmtId="10" fontId="10" fillId="2" borderId="29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0" xfId="36" applyNumberFormat="1" applyFont="1" applyFill="1" applyAlignment="1">
      <alignment horizontal="center" vertical="center" wrapText="1"/>
    </xf>
    <xf numFmtId="10" fontId="21" fillId="0" borderId="17" xfId="36" applyNumberFormat="1" applyFont="1" applyFill="1" applyBorder="1" applyAlignment="1">
      <alignment horizontal="center" vertical="center" wrapText="1"/>
    </xf>
    <xf numFmtId="10" fontId="21" fillId="0" borderId="39" xfId="36" applyNumberFormat="1" applyFont="1" applyFill="1" applyBorder="1" applyAlignment="1">
      <alignment horizontal="center" vertical="center" wrapText="1"/>
    </xf>
    <xf numFmtId="10" fontId="21" fillId="0" borderId="18" xfId="36" applyNumberFormat="1" applyFont="1" applyFill="1" applyBorder="1" applyAlignment="1">
      <alignment horizontal="center" vertical="center" wrapText="1"/>
    </xf>
    <xf numFmtId="10" fontId="21" fillId="0" borderId="32" xfId="36" applyNumberFormat="1" applyFont="1" applyFill="1" applyBorder="1" applyAlignment="1">
      <alignment horizontal="center" vertical="center" wrapText="1"/>
    </xf>
    <xf numFmtId="3" fontId="10" fillId="0" borderId="12" xfId="11" applyNumberFormat="1" applyFont="1" applyBorder="1" applyAlignment="1">
      <alignment horizontal="center" vertical="center" wrapText="1"/>
    </xf>
    <xf numFmtId="10" fontId="21" fillId="0" borderId="61" xfId="36" applyNumberFormat="1" applyFont="1" applyBorder="1" applyAlignment="1">
      <alignment horizontal="center"/>
    </xf>
    <xf numFmtId="10" fontId="21" fillId="0" borderId="6" xfId="36" applyNumberFormat="1" applyFont="1" applyBorder="1" applyAlignment="1">
      <alignment horizontal="center"/>
    </xf>
    <xf numFmtId="10" fontId="10" fillId="0" borderId="21" xfId="36" applyNumberFormat="1" applyFont="1" applyBorder="1" applyAlignment="1">
      <alignment horizontal="center"/>
    </xf>
    <xf numFmtId="10" fontId="10" fillId="0" borderId="40" xfId="36" applyNumberFormat="1" applyFont="1" applyBorder="1" applyAlignment="1">
      <alignment horizontal="center"/>
    </xf>
    <xf numFmtId="10" fontId="10" fillId="0" borderId="30" xfId="36" applyNumberFormat="1" applyFont="1" applyBorder="1" applyAlignment="1">
      <alignment horizontal="center"/>
    </xf>
    <xf numFmtId="10" fontId="10" fillId="0" borderId="6" xfId="36" applyNumberFormat="1" applyFont="1" applyBorder="1" applyAlignment="1">
      <alignment horizontal="center"/>
    </xf>
    <xf numFmtId="10" fontId="21" fillId="0" borderId="8" xfId="36" applyNumberFormat="1" applyFont="1" applyBorder="1" applyAlignment="1">
      <alignment horizontal="center"/>
    </xf>
    <xf numFmtId="10" fontId="21" fillId="0" borderId="20" xfId="36" applyNumberFormat="1" applyFont="1" applyBorder="1" applyAlignment="1">
      <alignment horizontal="center"/>
    </xf>
    <xf numFmtId="10" fontId="10" fillId="0" borderId="22" xfId="36" applyNumberFormat="1" applyFont="1" applyBorder="1" applyAlignment="1">
      <alignment horizontal="center"/>
    </xf>
    <xf numFmtId="10" fontId="10" fillId="0" borderId="20" xfId="36" applyNumberFormat="1" applyFont="1" applyBorder="1" applyAlignment="1">
      <alignment horizontal="center"/>
    </xf>
    <xf numFmtId="10" fontId="21" fillId="0" borderId="56" xfId="36" applyNumberFormat="1" applyFont="1" applyBorder="1" applyAlignment="1">
      <alignment horizontal="center"/>
    </xf>
    <xf numFmtId="10" fontId="21" fillId="0" borderId="4" xfId="36" applyNumberFormat="1" applyFont="1" applyBorder="1" applyAlignment="1">
      <alignment horizontal="center"/>
    </xf>
    <xf numFmtId="10" fontId="10" fillId="0" borderId="13" xfId="36" applyNumberFormat="1" applyFont="1" applyBorder="1" applyAlignment="1">
      <alignment horizontal="center"/>
    </xf>
    <xf numFmtId="10" fontId="10" fillId="0" borderId="10" xfId="36" applyNumberFormat="1" applyFont="1" applyBorder="1" applyAlignment="1">
      <alignment horizontal="center"/>
    </xf>
    <xf numFmtId="10" fontId="10" fillId="0" borderId="34" xfId="36" applyNumberFormat="1" applyFont="1" applyBorder="1" applyAlignment="1">
      <alignment horizontal="center"/>
    </xf>
    <xf numFmtId="10" fontId="10" fillId="0" borderId="58" xfId="36" applyNumberFormat="1" applyFont="1" applyBorder="1" applyAlignment="1">
      <alignment horizontal="center"/>
    </xf>
    <xf numFmtId="10" fontId="10" fillId="0" borderId="24" xfId="36" applyNumberFormat="1" applyFont="1" applyBorder="1" applyAlignment="1">
      <alignment horizontal="center"/>
    </xf>
    <xf numFmtId="10" fontId="63" fillId="0" borderId="56" xfId="36" applyNumberFormat="1" applyFont="1" applyBorder="1" applyAlignment="1">
      <alignment horizontal="center"/>
    </xf>
    <xf numFmtId="10" fontId="21" fillId="0" borderId="1" xfId="36" applyNumberFormat="1" applyFont="1" applyBorder="1" applyAlignment="1">
      <alignment horizontal="center"/>
    </xf>
    <xf numFmtId="10" fontId="10" fillId="0" borderId="46" xfId="36" applyNumberFormat="1" applyFont="1" applyBorder="1" applyAlignment="1">
      <alignment horizontal="center"/>
    </xf>
    <xf numFmtId="10" fontId="10" fillId="2" borderId="13" xfId="36" applyNumberFormat="1" applyFont="1" applyFill="1" applyBorder="1" applyAlignment="1">
      <alignment horizontal="center"/>
    </xf>
    <xf numFmtId="10" fontId="10" fillId="2" borderId="10" xfId="36" applyNumberFormat="1" applyFont="1" applyFill="1" applyBorder="1" applyAlignment="1">
      <alignment horizontal="center"/>
    </xf>
    <xf numFmtId="10" fontId="10" fillId="2" borderId="58" xfId="36" applyNumberFormat="1" applyFont="1" applyFill="1" applyBorder="1" applyAlignment="1">
      <alignment horizontal="center"/>
    </xf>
    <xf numFmtId="10" fontId="10" fillId="2" borderId="34" xfId="36" applyNumberFormat="1" applyFont="1" applyFill="1" applyBorder="1" applyAlignment="1">
      <alignment horizontal="center"/>
    </xf>
    <xf numFmtId="10" fontId="10" fillId="0" borderId="13" xfId="36" applyNumberFormat="1" applyFont="1" applyFill="1" applyBorder="1" applyAlignment="1">
      <alignment horizontal="center"/>
    </xf>
    <xf numFmtId="10" fontId="10" fillId="0" borderId="41" xfId="36" applyNumberFormat="1" applyFont="1" applyFill="1" applyBorder="1" applyAlignment="1">
      <alignment horizontal="center"/>
    </xf>
    <xf numFmtId="10" fontId="10" fillId="0" borderId="34" xfId="36" applyNumberFormat="1" applyFont="1" applyFill="1" applyBorder="1" applyAlignment="1">
      <alignment horizontal="center"/>
    </xf>
    <xf numFmtId="10" fontId="10" fillId="0" borderId="58" xfId="36" applyNumberFormat="1" applyFont="1" applyFill="1" applyBorder="1" applyAlignment="1">
      <alignment horizontal="center"/>
    </xf>
    <xf numFmtId="10" fontId="21" fillId="0" borderId="40" xfId="36" applyNumberFormat="1" applyFont="1" applyBorder="1" applyAlignment="1">
      <alignment horizontal="center"/>
    </xf>
    <xf numFmtId="10" fontId="21" fillId="0" borderId="54" xfId="36" applyNumberFormat="1" applyFont="1" applyBorder="1" applyAlignment="1">
      <alignment horizontal="center"/>
    </xf>
    <xf numFmtId="10" fontId="10" fillId="0" borderId="4" xfId="36" applyNumberFormat="1" applyFont="1" applyBorder="1" applyAlignment="1">
      <alignment horizontal="center"/>
    </xf>
    <xf numFmtId="10" fontId="21" fillId="0" borderId="14" xfId="36" applyNumberFormat="1" applyFont="1" applyBorder="1" applyAlignment="1">
      <alignment horizontal="center"/>
    </xf>
    <xf numFmtId="10" fontId="10" fillId="0" borderId="10" xfId="36" applyNumberFormat="1" applyFont="1" applyFill="1" applyBorder="1" applyAlignment="1">
      <alignment horizontal="center"/>
    </xf>
    <xf numFmtId="10" fontId="10" fillId="0" borderId="1" xfId="36" applyNumberFormat="1" applyFont="1" applyBorder="1" applyAlignment="1">
      <alignment horizontal="center"/>
    </xf>
    <xf numFmtId="10" fontId="21" fillId="0" borderId="3" xfId="36" applyNumberFormat="1" applyFont="1" applyBorder="1" applyAlignment="1">
      <alignment horizontal="center"/>
    </xf>
    <xf numFmtId="10" fontId="21" fillId="0" borderId="13" xfId="36" applyNumberFormat="1" applyFont="1" applyBorder="1" applyAlignment="1">
      <alignment horizontal="center"/>
    </xf>
    <xf numFmtId="10" fontId="21" fillId="0" borderId="58" xfId="36" applyNumberFormat="1" applyFont="1" applyBorder="1" applyAlignment="1">
      <alignment horizontal="center"/>
    </xf>
    <xf numFmtId="10" fontId="10" fillId="0" borderId="27" xfId="36" applyNumberFormat="1" applyFont="1" applyBorder="1" applyAlignment="1">
      <alignment horizontal="center"/>
    </xf>
    <xf numFmtId="10" fontId="10" fillId="0" borderId="35" xfId="36" applyNumberFormat="1" applyFont="1" applyBorder="1" applyAlignment="1">
      <alignment horizontal="center"/>
    </xf>
    <xf numFmtId="10" fontId="10" fillId="0" borderId="87" xfId="36" applyNumberFormat="1" applyFont="1" applyBorder="1" applyAlignment="1">
      <alignment horizontal="center"/>
    </xf>
    <xf numFmtId="10" fontId="10" fillId="0" borderId="1" xfId="36" applyNumberFormat="1" applyFont="1" applyFill="1" applyBorder="1" applyAlignment="1">
      <alignment horizontal="center"/>
    </xf>
    <xf numFmtId="10" fontId="10" fillId="0" borderId="31" xfId="36" applyNumberFormat="1" applyFont="1" applyFill="1" applyBorder="1" applyAlignment="1">
      <alignment horizontal="center"/>
    </xf>
    <xf numFmtId="10" fontId="10" fillId="0" borderId="3" xfId="36" applyNumberFormat="1" applyFont="1" applyFill="1" applyBorder="1" applyAlignment="1">
      <alignment horizontal="center"/>
    </xf>
    <xf numFmtId="10" fontId="10" fillId="0" borderId="46" xfId="36" applyNumberFormat="1" applyFont="1" applyFill="1" applyBorder="1" applyAlignment="1">
      <alignment horizontal="center"/>
    </xf>
    <xf numFmtId="10" fontId="10" fillId="0" borderId="27" xfId="36" applyNumberFormat="1" applyFont="1" applyFill="1" applyBorder="1" applyAlignment="1">
      <alignment horizontal="center"/>
    </xf>
    <xf numFmtId="10" fontId="10" fillId="0" borderId="87" xfId="36" applyNumberFormat="1" applyFont="1" applyFill="1" applyBorder="1" applyAlignment="1">
      <alignment horizontal="center"/>
    </xf>
    <xf numFmtId="10" fontId="10" fillId="2" borderId="27" xfId="36" applyNumberFormat="1" applyFont="1" applyFill="1" applyBorder="1" applyAlignment="1">
      <alignment horizontal="center"/>
    </xf>
    <xf numFmtId="10" fontId="10" fillId="2" borderId="35" xfId="36" applyNumberFormat="1" applyFont="1" applyFill="1" applyBorder="1" applyAlignment="1">
      <alignment horizontal="center"/>
    </xf>
    <xf numFmtId="10" fontId="10" fillId="2" borderId="87" xfId="36" applyNumberFormat="1" applyFont="1" applyFill="1" applyBorder="1" applyAlignment="1">
      <alignment horizontal="center"/>
    </xf>
    <xf numFmtId="10" fontId="10" fillId="2" borderId="4" xfId="36" applyNumberFormat="1" applyFont="1" applyFill="1" applyBorder="1" applyAlignment="1">
      <alignment horizontal="center"/>
    </xf>
    <xf numFmtId="10" fontId="10" fillId="2" borderId="24" xfId="36" applyNumberFormat="1" applyFont="1" applyFill="1" applyBorder="1" applyAlignment="1">
      <alignment horizontal="center"/>
    </xf>
    <xf numFmtId="10" fontId="10" fillId="2" borderId="14" xfId="36" applyNumberFormat="1" applyFont="1" applyFill="1" applyBorder="1" applyAlignment="1">
      <alignment horizontal="center"/>
    </xf>
    <xf numFmtId="166" fontId="11" fillId="0" borderId="12" xfId="0" applyNumberFormat="1" applyFont="1" applyFill="1" applyBorder="1"/>
    <xf numFmtId="3" fontId="20" fillId="0" borderId="0" xfId="0" applyNumberFormat="1" applyFont="1" applyFill="1" applyBorder="1"/>
    <xf numFmtId="3" fontId="15" fillId="0" borderId="0" xfId="0" applyNumberFormat="1" applyFont="1" applyFill="1" applyAlignment="1">
      <alignment vertical="center"/>
    </xf>
    <xf numFmtId="0" fontId="12" fillId="0" borderId="56" xfId="11" applyFont="1" applyBorder="1" applyAlignment="1" applyProtection="1">
      <alignment horizontal="left" vertical="center" wrapText="1" indent="1"/>
      <protection locked="0"/>
    </xf>
    <xf numFmtId="0" fontId="21" fillId="0" borderId="20" xfId="11" applyFont="1" applyBorder="1" applyAlignment="1" applyProtection="1">
      <alignment horizontal="left" vertical="center" indent="1"/>
      <protection locked="0"/>
    </xf>
    <xf numFmtId="3" fontId="60" fillId="0" borderId="0" xfId="13" applyNumberFormat="1" applyFont="1" applyAlignment="1"/>
    <xf numFmtId="3" fontId="35" fillId="7" borderId="0" xfId="13" applyNumberFormat="1" applyFont="1" applyFill="1"/>
    <xf numFmtId="3" fontId="15" fillId="0" borderId="47" xfId="0" applyNumberFormat="1" applyFont="1" applyFill="1" applyBorder="1" applyAlignment="1">
      <alignment horizontal="center"/>
    </xf>
    <xf numFmtId="49" fontId="15" fillId="0" borderId="12" xfId="0" applyNumberFormat="1" applyFont="1" applyBorder="1" applyAlignment="1">
      <alignment horizontal="center"/>
    </xf>
    <xf numFmtId="3" fontId="9" fillId="0" borderId="0" xfId="11" applyNumberFormat="1" applyFont="1" applyFill="1" applyAlignment="1">
      <alignment horizontal="center"/>
    </xf>
    <xf numFmtId="3" fontId="9" fillId="0" borderId="0" xfId="11" applyNumberFormat="1" applyFont="1" applyFill="1" applyAlignment="1">
      <alignment horizontal="center" vertical="center" wrapText="1"/>
    </xf>
    <xf numFmtId="3" fontId="9" fillId="0" borderId="0" xfId="11" applyNumberFormat="1" applyFont="1" applyFill="1" applyAlignment="1" applyProtection="1">
      <alignment horizontal="left"/>
      <protection locked="0"/>
    </xf>
    <xf numFmtId="3" fontId="12" fillId="0" borderId="0" xfId="11" applyNumberFormat="1" applyFont="1" applyFill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center" vertical="center"/>
    </xf>
    <xf numFmtId="3" fontId="11" fillId="0" borderId="41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>
      <alignment horizontal="center" vertical="center" wrapText="1"/>
    </xf>
    <xf numFmtId="0" fontId="11" fillId="0" borderId="58" xfId="11" applyFont="1" applyFill="1" applyBorder="1" applyAlignment="1">
      <alignment horizontal="center" vertical="center" wrapText="1"/>
    </xf>
    <xf numFmtId="165" fontId="9" fillId="0" borderId="0" xfId="11" applyNumberFormat="1" applyFont="1" applyFill="1" applyAlignment="1">
      <alignment horizontal="center" vertical="center" wrapText="1"/>
    </xf>
    <xf numFmtId="3" fontId="11" fillId="0" borderId="12" xfId="11" applyNumberFormat="1" applyFont="1" applyFill="1" applyBorder="1" applyAlignment="1">
      <alignment vertical="center" wrapText="1"/>
    </xf>
    <xf numFmtId="3" fontId="11" fillId="0" borderId="11" xfId="11" applyNumberFormat="1" applyFont="1" applyFill="1" applyBorder="1" applyAlignment="1">
      <alignment horizontal="center" vertical="center" wrapText="1"/>
    </xf>
    <xf numFmtId="3" fontId="11" fillId="0" borderId="86" xfId="11" applyNumberFormat="1" applyFont="1" applyFill="1" applyBorder="1" applyAlignment="1">
      <alignment horizontal="center" vertical="center" wrapText="1"/>
    </xf>
    <xf numFmtId="3" fontId="11" fillId="0" borderId="50" xfId="11" applyNumberFormat="1" applyFont="1" applyFill="1" applyBorder="1" applyAlignment="1">
      <alignment horizontal="center" vertical="center" wrapText="1"/>
    </xf>
    <xf numFmtId="0" fontId="20" fillId="0" borderId="0" xfId="0" applyFont="1" applyFill="1"/>
    <xf numFmtId="4" fontId="15" fillId="0" borderId="0" xfId="0" applyNumberFormat="1" applyFont="1"/>
    <xf numFmtId="3" fontId="12" fillId="0" borderId="55" xfId="11" applyNumberFormat="1" applyFont="1" applyFill="1" applyBorder="1" applyAlignment="1">
      <alignment horizontal="center" vertical="center" wrapText="1"/>
    </xf>
    <xf numFmtId="3" fontId="12" fillId="0" borderId="60" xfId="11" applyNumberFormat="1" applyFont="1" applyFill="1" applyBorder="1" applyAlignment="1">
      <alignment horizontal="center" vertical="center" wrapText="1"/>
    </xf>
    <xf numFmtId="3" fontId="11" fillId="2" borderId="47" xfId="11" applyNumberFormat="1" applyFont="1" applyFill="1" applyBorder="1" applyAlignment="1">
      <alignment horizontal="center" vertical="center" wrapText="1"/>
    </xf>
    <xf numFmtId="3" fontId="12" fillId="0" borderId="86" xfId="11" applyNumberFormat="1" applyFont="1" applyFill="1" applyBorder="1" applyAlignment="1">
      <alignment horizontal="center" vertical="center" wrapText="1"/>
    </xf>
    <xf numFmtId="3" fontId="12" fillId="0" borderId="61" xfId="11" applyNumberFormat="1" applyFont="1" applyFill="1" applyBorder="1" applyAlignment="1">
      <alignment horizontal="center" vertical="center" wrapText="1"/>
    </xf>
    <xf numFmtId="3" fontId="12" fillId="0" borderId="97" xfId="11" applyNumberFormat="1" applyFont="1" applyFill="1" applyBorder="1" applyAlignment="1">
      <alignment horizontal="center" vertical="center" wrapText="1"/>
    </xf>
    <xf numFmtId="3" fontId="59" fillId="7" borderId="0" xfId="13" applyNumberFormat="1" applyFont="1" applyFill="1"/>
    <xf numFmtId="0" fontId="34" fillId="0" borderId="0" xfId="32" applyFont="1" applyAlignment="1">
      <alignment horizontal="center"/>
    </xf>
    <xf numFmtId="0" fontId="20" fillId="0" borderId="0" xfId="32" applyFont="1" applyAlignment="1">
      <alignment horizontal="center"/>
    </xf>
    <xf numFmtId="3" fontId="20" fillId="0" borderId="0" xfId="0" applyNumberFormat="1" applyFont="1" applyAlignment="1">
      <alignment horizontal="center"/>
    </xf>
    <xf numFmtId="3" fontId="9" fillId="0" borderId="0" xfId="31" applyNumberFormat="1" applyFont="1" applyFill="1" applyAlignment="1">
      <alignment horizontal="center"/>
    </xf>
    <xf numFmtId="3" fontId="15" fillId="0" borderId="47" xfId="0" applyNumberFormat="1" applyFont="1" applyBorder="1" applyAlignment="1">
      <alignment horizontal="center"/>
    </xf>
    <xf numFmtId="3" fontId="15" fillId="0" borderId="41" xfId="0" applyNumberFormat="1" applyFont="1" applyBorder="1" applyAlignment="1">
      <alignment horizontal="center"/>
    </xf>
    <xf numFmtId="3" fontId="15" fillId="0" borderId="12" xfId="0" applyNumberFormat="1" applyFont="1" applyBorder="1" applyAlignment="1">
      <alignment horizontal="center"/>
    </xf>
    <xf numFmtId="3" fontId="20" fillId="0" borderId="0" xfId="0" applyNumberFormat="1" applyFont="1" applyFill="1" applyAlignment="1">
      <alignment horizontal="center"/>
    </xf>
    <xf numFmtId="3" fontId="15" fillId="0" borderId="47" xfId="0" applyNumberFormat="1" applyFont="1" applyFill="1" applyBorder="1" applyAlignment="1">
      <alignment horizontal="center"/>
    </xf>
    <xf numFmtId="3" fontId="15" fillId="0" borderId="41" xfId="0" applyNumberFormat="1" applyFont="1" applyFill="1" applyBorder="1" applyAlignment="1">
      <alignment horizontal="center"/>
    </xf>
    <xf numFmtId="3" fontId="15" fillId="0" borderId="12" xfId="0" applyNumberFormat="1" applyFont="1" applyFill="1" applyBorder="1" applyAlignment="1">
      <alignment horizontal="center"/>
    </xf>
    <xf numFmtId="49" fontId="15" fillId="0" borderId="47" xfId="0" applyNumberFormat="1" applyFont="1" applyBorder="1" applyAlignment="1">
      <alignment horizontal="center"/>
    </xf>
    <xf numFmtId="49" fontId="15" fillId="0" borderId="41" xfId="0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/>
    </xf>
    <xf numFmtId="49" fontId="9" fillId="0" borderId="0" xfId="11" applyNumberFormat="1" applyFont="1" applyFill="1" applyAlignment="1">
      <alignment horizontal="center"/>
    </xf>
    <xf numFmtId="49" fontId="7" fillId="0" borderId="0" xfId="11" applyNumberFormat="1" applyFont="1" applyFill="1" applyAlignment="1">
      <alignment horizontal="center"/>
    </xf>
    <xf numFmtId="0" fontId="11" fillId="0" borderId="95" xfId="11" applyFont="1" applyFill="1" applyBorder="1" applyAlignment="1">
      <alignment horizontal="center" vertical="center"/>
    </xf>
    <xf numFmtId="0" fontId="11" fillId="0" borderId="57" xfId="11" applyFont="1" applyFill="1" applyBorder="1" applyAlignment="1">
      <alignment horizontal="center" vertical="center"/>
    </xf>
    <xf numFmtId="10" fontId="10" fillId="0" borderId="50" xfId="36" applyNumberFormat="1" applyFont="1" applyFill="1" applyBorder="1" applyAlignment="1" applyProtection="1">
      <alignment horizontal="center" vertical="center" wrapText="1"/>
    </xf>
    <xf numFmtId="10" fontId="10" fillId="0" borderId="29" xfId="36" applyNumberFormat="1" applyFont="1" applyFill="1" applyBorder="1" applyAlignment="1" applyProtection="1">
      <alignment horizontal="center" vertical="center" wrapText="1"/>
    </xf>
    <xf numFmtId="4" fontId="11" fillId="0" borderId="11" xfId="11" applyNumberFormat="1" applyFont="1" applyBorder="1" applyAlignment="1">
      <alignment horizontal="center" vertical="center" wrapText="1"/>
    </xf>
    <xf numFmtId="4" fontId="11" fillId="0" borderId="10" xfId="11" applyNumberFormat="1" applyFont="1" applyBorder="1" applyAlignment="1">
      <alignment horizontal="center" vertical="center" wrapText="1"/>
    </xf>
    <xf numFmtId="4" fontId="11" fillId="0" borderId="9" xfId="11" applyNumberFormat="1" applyFont="1" applyBorder="1" applyAlignment="1">
      <alignment horizontal="center" vertical="center" wrapText="1"/>
    </xf>
    <xf numFmtId="10" fontId="10" fillId="0" borderId="100" xfId="36" applyNumberFormat="1" applyFont="1" applyFill="1" applyBorder="1" applyAlignment="1" applyProtection="1">
      <alignment horizontal="center" vertical="center" wrapText="1"/>
    </xf>
    <xf numFmtId="10" fontId="10" fillId="0" borderId="96" xfId="36" applyNumberFormat="1" applyFont="1" applyFill="1" applyBorder="1" applyAlignment="1" applyProtection="1">
      <alignment horizontal="center" vertical="center" wrapText="1"/>
    </xf>
    <xf numFmtId="3" fontId="11" fillId="0" borderId="51" xfId="31" applyNumberFormat="1" applyFont="1" applyFill="1" applyBorder="1" applyAlignment="1" applyProtection="1">
      <alignment horizontal="center" vertical="center" wrapText="1"/>
    </xf>
    <xf numFmtId="3" fontId="11" fillId="0" borderId="31" xfId="31" applyNumberFormat="1" applyFont="1" applyFill="1" applyBorder="1" applyAlignment="1" applyProtection="1">
      <alignment horizontal="center" vertical="center" wrapText="1"/>
    </xf>
    <xf numFmtId="3" fontId="11" fillId="0" borderId="50" xfId="31" applyNumberFormat="1" applyFont="1" applyFill="1" applyBorder="1" applyAlignment="1" applyProtection="1">
      <alignment horizontal="center" vertical="center" wrapText="1"/>
    </xf>
    <xf numFmtId="3" fontId="11" fillId="0" borderId="29" xfId="31" applyNumberFormat="1" applyFont="1" applyFill="1" applyBorder="1" applyAlignment="1" applyProtection="1">
      <alignment horizontal="center" vertical="center" wrapText="1"/>
    </xf>
    <xf numFmtId="3" fontId="11" fillId="0" borderId="95" xfId="31" applyNumberFormat="1" applyFont="1" applyFill="1" applyBorder="1" applyAlignment="1" applyProtection="1">
      <alignment horizontal="center" vertical="center" wrapText="1"/>
    </xf>
    <xf numFmtId="3" fontId="11" fillId="0" borderId="57" xfId="31" applyNumberFormat="1" applyFont="1" applyFill="1" applyBorder="1" applyAlignment="1" applyProtection="1">
      <alignment horizontal="center" vertical="center" wrapText="1"/>
    </xf>
    <xf numFmtId="3" fontId="9" fillId="0" borderId="0" xfId="11" applyNumberFormat="1" applyFont="1" applyFill="1" applyAlignment="1">
      <alignment horizontal="center"/>
    </xf>
    <xf numFmtId="3" fontId="9" fillId="0" borderId="0" xfId="11" applyNumberFormat="1" applyFont="1" applyFill="1" applyAlignment="1">
      <alignment horizontal="center" vertical="center" wrapText="1"/>
    </xf>
    <xf numFmtId="3" fontId="9" fillId="0" borderId="0" xfId="11" applyNumberFormat="1" applyFont="1" applyFill="1" applyBorder="1" applyAlignment="1">
      <alignment horizontal="center" vertical="center"/>
    </xf>
    <xf numFmtId="3" fontId="9" fillId="0" borderId="0" xfId="11" applyNumberFormat="1" applyFont="1" applyFill="1" applyAlignment="1" applyProtection="1">
      <alignment horizontal="left"/>
      <protection locked="0"/>
    </xf>
    <xf numFmtId="3" fontId="9" fillId="0" borderId="0" xfId="11" applyNumberFormat="1" applyFont="1" applyFill="1" applyAlignment="1" applyProtection="1">
      <alignment horizontal="left" wrapText="1"/>
      <protection locked="0"/>
    </xf>
    <xf numFmtId="3" fontId="9" fillId="0" borderId="0" xfId="11" applyNumberFormat="1" applyFont="1" applyFill="1" applyAlignment="1" applyProtection="1">
      <protection locked="0"/>
    </xf>
    <xf numFmtId="0" fontId="12" fillId="0" borderId="47" xfId="31" applyFont="1" applyFill="1" applyBorder="1" applyAlignment="1" applyProtection="1">
      <alignment horizontal="center" vertical="center"/>
    </xf>
    <xf numFmtId="0" fontId="12" fillId="0" borderId="41" xfId="31" applyFont="1" applyFill="1" applyBorder="1" applyAlignment="1" applyProtection="1">
      <alignment horizontal="center" vertical="center"/>
    </xf>
    <xf numFmtId="0" fontId="12" fillId="0" borderId="12" xfId="31" applyFont="1" applyFill="1" applyBorder="1" applyAlignment="1" applyProtection="1">
      <alignment horizontal="center" vertical="center"/>
    </xf>
    <xf numFmtId="0" fontId="11" fillId="0" borderId="47" xfId="31" applyFont="1" applyFill="1" applyBorder="1" applyAlignment="1" applyProtection="1">
      <alignment horizontal="center" vertical="center" wrapText="1"/>
    </xf>
    <xf numFmtId="0" fontId="11" fillId="0" borderId="41" xfId="31" applyFont="1" applyFill="1" applyBorder="1" applyAlignment="1" applyProtection="1">
      <alignment horizontal="center" vertical="center" wrapText="1"/>
    </xf>
    <xf numFmtId="0" fontId="11" fillId="0" borderId="12" xfId="31" applyFont="1" applyFill="1" applyBorder="1" applyAlignment="1" applyProtection="1">
      <alignment horizontal="center" vertical="center" wrapText="1"/>
    </xf>
    <xf numFmtId="0" fontId="11" fillId="0" borderId="86" xfId="31" applyFont="1" applyFill="1" applyBorder="1" applyAlignment="1" applyProtection="1">
      <alignment horizontal="center" vertical="center" wrapText="1"/>
    </xf>
    <xf numFmtId="0" fontId="11" fillId="0" borderId="98" xfId="31" applyFont="1" applyFill="1" applyBorder="1" applyAlignment="1" applyProtection="1">
      <alignment horizontal="center" vertical="center" wrapText="1"/>
    </xf>
    <xf numFmtId="0" fontId="11" fillId="0" borderId="50" xfId="31" applyFont="1" applyFill="1" applyBorder="1" applyAlignment="1" applyProtection="1">
      <alignment horizontal="center" vertical="center" wrapText="1"/>
    </xf>
    <xf numFmtId="0" fontId="11" fillId="0" borderId="29" xfId="3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/>
    <xf numFmtId="0" fontId="12" fillId="0" borderId="0" xfId="11" applyFont="1" applyAlignment="1"/>
    <xf numFmtId="0" fontId="12" fillId="0" borderId="0" xfId="11" applyFont="1" applyAlignment="1">
      <alignment wrapText="1"/>
    </xf>
    <xf numFmtId="165" fontId="9" fillId="0" borderId="0" xfId="31" applyNumberFormat="1" applyFont="1" applyFill="1" applyBorder="1" applyAlignment="1" applyProtection="1">
      <alignment horizontal="left" vertical="center" wrapText="1"/>
    </xf>
    <xf numFmtId="0" fontId="12" fillId="0" borderId="47" xfId="11" applyFont="1" applyBorder="1" applyAlignment="1">
      <alignment horizontal="center" wrapText="1"/>
    </xf>
    <xf numFmtId="0" fontId="12" fillId="0" borderId="41" xfId="11" applyFont="1" applyBorder="1" applyAlignment="1">
      <alignment horizontal="center" wrapText="1"/>
    </xf>
    <xf numFmtId="0" fontId="12" fillId="0" borderId="12" xfId="11" applyFont="1" applyBorder="1" applyAlignment="1">
      <alignment horizontal="center" wrapText="1"/>
    </xf>
    <xf numFmtId="0" fontId="9" fillId="0" borderId="0" xfId="11" applyFont="1" applyAlignment="1">
      <alignment horizontal="center"/>
    </xf>
    <xf numFmtId="0" fontId="12" fillId="0" borderId="61" xfId="11" applyFont="1" applyBorder="1" applyAlignment="1">
      <alignment horizontal="center" vertical="center" wrapText="1"/>
    </xf>
    <xf numFmtId="0" fontId="12" fillId="0" borderId="63" xfId="11" applyFont="1" applyBorder="1" applyAlignment="1">
      <alignment horizontal="center" vertical="center" wrapText="1"/>
    </xf>
    <xf numFmtId="0" fontId="12" fillId="0" borderId="39" xfId="11" applyFont="1" applyBorder="1" applyAlignment="1">
      <alignment horizontal="center" vertical="center" wrapText="1"/>
    </xf>
    <xf numFmtId="0" fontId="12" fillId="0" borderId="14" xfId="11" applyFont="1" applyBorder="1" applyAlignment="1">
      <alignment horizontal="center" vertical="center" wrapText="1"/>
    </xf>
    <xf numFmtId="0" fontId="11" fillId="0" borderId="33" xfId="11" applyFont="1" applyBorder="1" applyAlignment="1">
      <alignment horizontal="center" vertical="center"/>
    </xf>
    <xf numFmtId="0" fontId="11" fillId="0" borderId="35" xfId="11" applyFont="1" applyBorder="1" applyAlignment="1">
      <alignment horizontal="center" vertical="center"/>
    </xf>
    <xf numFmtId="0" fontId="12" fillId="0" borderId="47" xfId="11" applyFont="1" applyBorder="1" applyAlignment="1"/>
    <xf numFmtId="0" fontId="12" fillId="0" borderId="41" xfId="11" applyFont="1" applyBorder="1" applyAlignment="1"/>
    <xf numFmtId="0" fontId="12" fillId="0" borderId="12" xfId="11" applyFont="1" applyBorder="1" applyAlignment="1"/>
    <xf numFmtId="3" fontId="11" fillId="0" borderId="47" xfId="11" applyNumberFormat="1" applyFont="1" applyFill="1" applyBorder="1" applyAlignment="1">
      <alignment horizontal="left" vertical="center" wrapText="1" indent="2"/>
    </xf>
    <xf numFmtId="3" fontId="11" fillId="0" borderId="12" xfId="11" applyNumberFormat="1" applyFont="1" applyFill="1" applyBorder="1" applyAlignment="1">
      <alignment horizontal="left" vertical="center" wrapText="1" indent="2"/>
    </xf>
    <xf numFmtId="3" fontId="12" fillId="0" borderId="0" xfId="11" applyNumberFormat="1" applyFont="1" applyFill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center" vertical="center" wrapText="1"/>
    </xf>
    <xf numFmtId="3" fontId="11" fillId="0" borderId="35" xfId="11" applyNumberFormat="1" applyFont="1" applyFill="1" applyBorder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center" vertical="center"/>
    </xf>
    <xf numFmtId="3" fontId="11" fillId="0" borderId="35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>
      <alignment horizontal="center" vertical="center"/>
    </xf>
    <xf numFmtId="3" fontId="11" fillId="0" borderId="41" xfId="11" applyNumberFormat="1" applyFont="1" applyFill="1" applyBorder="1" applyAlignment="1">
      <alignment horizontal="center" vertical="center"/>
    </xf>
    <xf numFmtId="3" fontId="11" fillId="0" borderId="12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>
      <alignment horizontal="center" vertical="center" wrapText="1"/>
    </xf>
    <xf numFmtId="3" fontId="11" fillId="0" borderId="41" xfId="11" applyNumberFormat="1" applyFont="1" applyFill="1" applyBorder="1" applyAlignment="1">
      <alignment horizontal="center" vertical="center" wrapText="1"/>
    </xf>
    <xf numFmtId="3" fontId="11" fillId="0" borderId="12" xfId="11" applyNumberFormat="1" applyFont="1" applyFill="1" applyBorder="1" applyAlignment="1">
      <alignment horizontal="center" vertical="center" wrapText="1"/>
    </xf>
    <xf numFmtId="3" fontId="24" fillId="0" borderId="0" xfId="11" applyNumberFormat="1" applyFont="1" applyFill="1" applyAlignment="1">
      <alignment horizontal="center" vertical="center" wrapText="1"/>
    </xf>
    <xf numFmtId="3" fontId="9" fillId="0" borderId="0" xfId="33" applyNumberFormat="1" applyFont="1" applyFill="1" applyAlignment="1" applyProtection="1">
      <alignment horizontal="center"/>
    </xf>
    <xf numFmtId="3" fontId="11" fillId="0" borderId="85" xfId="33" applyNumberFormat="1" applyFont="1" applyFill="1" applyBorder="1" applyAlignment="1" applyProtection="1">
      <alignment horizontal="left" vertical="center" indent="1"/>
    </xf>
    <xf numFmtId="3" fontId="11" fillId="0" borderId="45" xfId="33" applyNumberFormat="1" applyFont="1" applyFill="1" applyBorder="1" applyAlignment="1" applyProtection="1">
      <alignment horizontal="left" vertical="center" indent="1"/>
    </xf>
    <xf numFmtId="3" fontId="11" fillId="0" borderId="41" xfId="33" applyNumberFormat="1" applyFont="1" applyFill="1" applyBorder="1" applyAlignment="1" applyProtection="1">
      <alignment horizontal="left" vertical="center" indent="1"/>
    </xf>
    <xf numFmtId="3" fontId="11" fillId="0" borderId="12" xfId="33" applyNumberFormat="1" applyFont="1" applyFill="1" applyBorder="1" applyAlignment="1" applyProtection="1">
      <alignment horizontal="left" vertical="center" indent="1"/>
    </xf>
    <xf numFmtId="3" fontId="11" fillId="0" borderId="0" xfId="33" applyNumberFormat="1" applyFont="1" applyFill="1" applyBorder="1" applyAlignment="1" applyProtection="1">
      <alignment horizontal="left" vertical="center" indent="1"/>
    </xf>
    <xf numFmtId="3" fontId="7" fillId="0" borderId="0" xfId="31" applyNumberFormat="1" applyFont="1" applyFill="1" applyAlignment="1">
      <alignment horizontal="center"/>
    </xf>
    <xf numFmtId="0" fontId="9" fillId="0" borderId="0" xfId="11" applyFont="1" applyFill="1" applyAlignment="1">
      <alignment horizontal="center" vertical="center" wrapText="1"/>
    </xf>
    <xf numFmtId="49" fontId="11" fillId="0" borderId="47" xfId="11" applyNumberFormat="1" applyFont="1" applyFill="1" applyBorder="1" applyAlignment="1">
      <alignment horizontal="center" vertical="center" wrapText="1"/>
    </xf>
    <xf numFmtId="49" fontId="11" fillId="0" borderId="41" xfId="11" applyNumberFormat="1" applyFont="1" applyFill="1" applyBorder="1" applyAlignment="1">
      <alignment horizontal="center" vertical="center" wrapText="1"/>
    </xf>
    <xf numFmtId="49" fontId="11" fillId="0" borderId="12" xfId="11" applyNumberFormat="1" applyFont="1" applyFill="1" applyBorder="1" applyAlignment="1">
      <alignment horizontal="center" vertical="center" wrapText="1"/>
    </xf>
    <xf numFmtId="0" fontId="11" fillId="0" borderId="58" xfId="11" applyFont="1" applyFill="1" applyBorder="1" applyAlignment="1">
      <alignment horizontal="center" vertical="center" wrapText="1"/>
    </xf>
    <xf numFmtId="0" fontId="11" fillId="0" borderId="41" xfId="11" applyFont="1" applyFill="1" applyBorder="1" applyAlignment="1">
      <alignment horizontal="center" vertical="center" wrapText="1"/>
    </xf>
    <xf numFmtId="0" fontId="11" fillId="0" borderId="12" xfId="11" applyFont="1" applyFill="1" applyBorder="1" applyAlignment="1">
      <alignment horizontal="center" vertical="center" wrapText="1"/>
    </xf>
    <xf numFmtId="165" fontId="9" fillId="0" borderId="0" xfId="11" applyNumberFormat="1" applyFont="1" applyFill="1" applyAlignment="1">
      <alignment horizontal="center" vertical="center" wrapText="1"/>
    </xf>
    <xf numFmtId="165" fontId="10" fillId="0" borderId="43" xfId="11" applyNumberFormat="1" applyFont="1" applyFill="1" applyBorder="1" applyAlignment="1" applyProtection="1">
      <alignment horizontal="right" wrapText="1"/>
    </xf>
    <xf numFmtId="165" fontId="11" fillId="0" borderId="47" xfId="11" applyNumberFormat="1" applyFont="1" applyFill="1" applyBorder="1" applyAlignment="1" applyProtection="1">
      <alignment horizontal="center" vertical="center" wrapText="1"/>
    </xf>
    <xf numFmtId="165" fontId="11" fillId="0" borderId="41" xfId="11" applyNumberFormat="1" applyFont="1" applyFill="1" applyBorder="1" applyAlignment="1" applyProtection="1">
      <alignment horizontal="center" vertical="center" wrapText="1"/>
    </xf>
    <xf numFmtId="165" fontId="11" fillId="0" borderId="12" xfId="11" applyNumberFormat="1" applyFont="1" applyFill="1" applyBorder="1" applyAlignment="1" applyProtection="1">
      <alignment horizontal="center" vertical="center" wrapText="1"/>
    </xf>
    <xf numFmtId="0" fontId="9" fillId="0" borderId="0" xfId="11" applyFont="1" applyBorder="1" applyAlignment="1">
      <alignment horizontal="center" wrapText="1"/>
    </xf>
    <xf numFmtId="0" fontId="11" fillId="0" borderId="47" xfId="11" applyFont="1" applyFill="1" applyBorder="1" applyAlignment="1"/>
    <xf numFmtId="0" fontId="11" fillId="0" borderId="41" xfId="11" applyFont="1" applyFill="1" applyBorder="1" applyAlignment="1"/>
    <xf numFmtId="0" fontId="11" fillId="0" borderId="12" xfId="11" applyFont="1" applyFill="1" applyBorder="1" applyAlignment="1"/>
    <xf numFmtId="168" fontId="11" fillId="0" borderId="95" xfId="11" applyNumberFormat="1" applyFont="1" applyFill="1" applyBorder="1" applyAlignment="1">
      <alignment horizontal="center" vertical="center" wrapText="1"/>
    </xf>
    <xf numFmtId="168" fontId="11" fillId="0" borderId="57" xfId="11" applyNumberFormat="1" applyFont="1" applyFill="1" applyBorder="1" applyAlignment="1">
      <alignment horizontal="center" vertical="center" wrapText="1"/>
    </xf>
    <xf numFmtId="168" fontId="11" fillId="0" borderId="91" xfId="11" applyNumberFormat="1" applyFont="1" applyFill="1" applyBorder="1" applyAlignment="1">
      <alignment horizontal="center" vertical="center" wrapText="1"/>
    </xf>
    <xf numFmtId="0" fontId="11" fillId="0" borderId="95" xfId="11" applyNumberFormat="1" applyFont="1" applyFill="1" applyBorder="1" applyAlignment="1">
      <alignment horizontal="center" vertical="center" wrapText="1"/>
    </xf>
    <xf numFmtId="0" fontId="11" fillId="0" borderId="57" xfId="11" applyNumberFormat="1" applyFont="1" applyFill="1" applyBorder="1" applyAlignment="1">
      <alignment horizontal="center" vertical="center" wrapText="1"/>
    </xf>
    <xf numFmtId="0" fontId="11" fillId="0" borderId="91" xfId="11" applyNumberFormat="1" applyFont="1" applyFill="1" applyBorder="1" applyAlignment="1">
      <alignment horizontal="center" vertical="center" wrapText="1"/>
    </xf>
    <xf numFmtId="3" fontId="11" fillId="0" borderId="41" xfId="11" applyNumberFormat="1" applyFont="1" applyFill="1" applyBorder="1" applyAlignment="1">
      <alignment vertical="center" wrapText="1"/>
    </xf>
    <xf numFmtId="3" fontId="11" fillId="0" borderId="12" xfId="11" applyNumberFormat="1" applyFont="1" applyFill="1" applyBorder="1" applyAlignment="1">
      <alignment vertical="center" wrapText="1"/>
    </xf>
    <xf numFmtId="3" fontId="11" fillId="0" borderId="47" xfId="11" applyNumberFormat="1" applyFont="1" applyFill="1" applyBorder="1" applyAlignment="1">
      <alignment vertical="center" wrapText="1"/>
    </xf>
    <xf numFmtId="3" fontId="11" fillId="0" borderId="11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>
      <alignment horizontal="center" vertical="center" wrapText="1"/>
    </xf>
    <xf numFmtId="3" fontId="11" fillId="0" borderId="9" xfId="11" applyNumberFormat="1" applyFont="1" applyFill="1" applyBorder="1" applyAlignment="1">
      <alignment horizontal="center" vertical="center" wrapText="1"/>
    </xf>
    <xf numFmtId="0" fontId="11" fillId="2" borderId="47" xfId="11" applyFont="1" applyFill="1" applyBorder="1" applyAlignment="1">
      <alignment vertical="center" wrapText="1"/>
    </xf>
    <xf numFmtId="0" fontId="11" fillId="2" borderId="41" xfId="11" applyFont="1" applyFill="1" applyBorder="1" applyAlignment="1">
      <alignment vertical="center" wrapText="1"/>
    </xf>
    <xf numFmtId="0" fontId="11" fillId="2" borderId="12" xfId="11" applyFont="1" applyFill="1" applyBorder="1" applyAlignment="1">
      <alignment vertical="center" wrapText="1"/>
    </xf>
    <xf numFmtId="0" fontId="11" fillId="2" borderId="47" xfId="11" applyFont="1" applyFill="1" applyBorder="1" applyAlignment="1"/>
    <xf numFmtId="0" fontId="11" fillId="2" borderId="41" xfId="11" applyFont="1" applyFill="1" applyBorder="1" applyAlignment="1"/>
    <xf numFmtId="0" fontId="11" fillId="2" borderId="12" xfId="11" applyFont="1" applyFill="1" applyBorder="1" applyAlignment="1"/>
    <xf numFmtId="0" fontId="11" fillId="0" borderId="47" xfId="11" applyFont="1" applyFill="1" applyBorder="1" applyAlignment="1">
      <alignment vertical="center" wrapText="1"/>
    </xf>
    <xf numFmtId="0" fontId="11" fillId="0" borderId="41" xfId="11" applyFont="1" applyFill="1" applyBorder="1" applyAlignment="1">
      <alignment vertical="center" wrapText="1"/>
    </xf>
    <xf numFmtId="0" fontId="11" fillId="0" borderId="12" xfId="11" applyFont="1" applyFill="1" applyBorder="1" applyAlignment="1">
      <alignment vertical="center" wrapText="1"/>
    </xf>
    <xf numFmtId="0" fontId="11" fillId="0" borderId="86" xfId="11" applyNumberFormat="1" applyFont="1" applyFill="1" applyBorder="1" applyAlignment="1">
      <alignment horizontal="center" vertical="center" wrapText="1"/>
    </xf>
    <xf numFmtId="0" fontId="11" fillId="0" borderId="97" xfId="11" applyNumberFormat="1" applyFont="1" applyFill="1" applyBorder="1" applyAlignment="1">
      <alignment horizontal="center" vertical="center" wrapText="1"/>
    </xf>
    <xf numFmtId="0" fontId="11" fillId="0" borderId="98" xfId="11" applyNumberFormat="1" applyFont="1" applyFill="1" applyBorder="1" applyAlignment="1">
      <alignment horizontal="center" vertical="center" wrapText="1"/>
    </xf>
    <xf numFmtId="49" fontId="11" fillId="0" borderId="50" xfId="11" applyNumberFormat="1" applyFont="1" applyFill="1" applyBorder="1" applyAlignment="1">
      <alignment horizontal="center" vertical="center" wrapText="1"/>
    </xf>
    <xf numFmtId="49" fontId="11" fillId="0" borderId="32" xfId="11" applyNumberFormat="1" applyFont="1" applyFill="1" applyBorder="1" applyAlignment="1">
      <alignment horizontal="center" vertical="center" wrapText="1"/>
    </xf>
    <xf numFmtId="49" fontId="11" fillId="0" borderId="29" xfId="11" applyNumberFormat="1" applyFont="1" applyFill="1" applyBorder="1" applyAlignment="1">
      <alignment horizontal="center" vertical="center" wrapText="1"/>
    </xf>
    <xf numFmtId="0" fontId="11" fillId="0" borderId="51" xfId="11" applyFont="1" applyFill="1" applyBorder="1" applyAlignment="1">
      <alignment horizontal="center" vertical="center" wrapText="1"/>
    </xf>
    <xf numFmtId="0" fontId="11" fillId="0" borderId="31" xfId="11" applyFont="1" applyFill="1" applyBorder="1" applyAlignment="1">
      <alignment horizontal="center" vertical="center" wrapText="1"/>
    </xf>
    <xf numFmtId="0" fontId="11" fillId="0" borderId="28" xfId="11" applyFont="1" applyFill="1" applyBorder="1" applyAlignment="1">
      <alignment horizontal="center" vertical="center" wrapText="1"/>
    </xf>
    <xf numFmtId="3" fontId="11" fillId="0" borderId="86" xfId="11" applyNumberFormat="1" applyFont="1" applyFill="1" applyBorder="1" applyAlignment="1">
      <alignment horizontal="center" vertical="center" wrapText="1"/>
    </xf>
    <xf numFmtId="3" fontId="11" fillId="0" borderId="97" xfId="11" applyNumberFormat="1" applyFont="1" applyFill="1" applyBorder="1" applyAlignment="1">
      <alignment horizontal="center" vertical="center" wrapText="1"/>
    </xf>
    <xf numFmtId="3" fontId="11" fillId="0" borderId="98" xfId="11" applyNumberFormat="1" applyFont="1" applyFill="1" applyBorder="1" applyAlignment="1">
      <alignment horizontal="center" vertical="center" wrapText="1"/>
    </xf>
    <xf numFmtId="3" fontId="11" fillId="0" borderId="51" xfId="11" applyNumberFormat="1" applyFont="1" applyFill="1" applyBorder="1" applyAlignment="1">
      <alignment horizontal="center" vertical="center" wrapText="1"/>
    </xf>
    <xf numFmtId="3" fontId="11" fillId="0" borderId="50" xfId="11" applyNumberFormat="1" applyFont="1" applyFill="1" applyBorder="1" applyAlignment="1">
      <alignment horizontal="center" vertical="center" wrapText="1"/>
    </xf>
    <xf numFmtId="3" fontId="11" fillId="0" borderId="31" xfId="11" applyNumberFormat="1" applyFont="1" applyFill="1" applyBorder="1" applyAlignment="1">
      <alignment horizontal="center" vertical="center" wrapText="1"/>
    </xf>
    <xf numFmtId="3" fontId="11" fillId="0" borderId="32" xfId="11" applyNumberFormat="1" applyFont="1" applyFill="1" applyBorder="1" applyAlignment="1">
      <alignment horizontal="center" vertical="center" wrapText="1"/>
    </xf>
    <xf numFmtId="3" fontId="9" fillId="0" borderId="0" xfId="11" applyNumberFormat="1" applyFont="1" applyAlignment="1">
      <alignment horizontal="center"/>
    </xf>
    <xf numFmtId="0" fontId="20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0" xfId="0" applyFont="1" applyFill="1" applyAlignment="1">
      <alignment horizontal="center" vertical="top" wrapText="1"/>
    </xf>
    <xf numFmtId="0" fontId="20" fillId="0" borderId="0" xfId="0" applyFont="1" applyFill="1"/>
    <xf numFmtId="0" fontId="58" fillId="0" borderId="0" xfId="0" applyFont="1" applyFill="1"/>
    <xf numFmtId="3" fontId="35" fillId="0" borderId="100" xfId="13" applyNumberFormat="1" applyFont="1" applyFill="1" applyBorder="1" applyAlignment="1">
      <alignment horizontal="center" vertical="center" wrapText="1"/>
    </xf>
    <xf numFmtId="3" fontId="35" fillId="0" borderId="92" xfId="13" applyNumberFormat="1" applyFont="1" applyFill="1" applyBorder="1" applyAlignment="1">
      <alignment horizontal="center" vertical="center" wrapText="1"/>
    </xf>
    <xf numFmtId="3" fontId="60" fillId="0" borderId="0" xfId="13" applyNumberFormat="1" applyFont="1" applyAlignment="1"/>
    <xf numFmtId="3" fontId="19" fillId="0" borderId="0" xfId="31" applyNumberFormat="1" applyFont="1" applyFill="1" applyAlignment="1">
      <alignment horizontal="right"/>
    </xf>
    <xf numFmtId="3" fontId="20" fillId="0" borderId="0" xfId="13" applyNumberFormat="1" applyFont="1" applyAlignment="1">
      <alignment horizontal="center"/>
    </xf>
    <xf numFmtId="3" fontId="33" fillId="0" borderId="33" xfId="13" applyNumberFormat="1" applyFont="1" applyBorder="1" applyAlignment="1">
      <alignment horizontal="center" vertical="center"/>
    </xf>
    <xf numFmtId="3" fontId="33" fillId="0" borderId="35" xfId="13" applyNumberFormat="1" applyFont="1" applyBorder="1" applyAlignment="1">
      <alignment horizontal="center" vertical="center"/>
    </xf>
    <xf numFmtId="3" fontId="33" fillId="0" borderId="48" xfId="13" applyNumberFormat="1" applyFont="1" applyBorder="1" applyAlignment="1">
      <alignment horizontal="center" vertical="center"/>
    </xf>
    <xf numFmtId="3" fontId="33" fillId="0" borderId="15" xfId="13" applyNumberFormat="1" applyFont="1" applyBorder="1" applyAlignment="1">
      <alignment horizontal="center" vertical="center"/>
    </xf>
    <xf numFmtId="3" fontId="33" fillId="0" borderId="90" xfId="13" applyNumberFormat="1" applyFont="1" applyBorder="1" applyAlignment="1">
      <alignment horizontal="center" vertical="center"/>
    </xf>
    <xf numFmtId="3" fontId="33" fillId="0" borderId="33" xfId="13" applyNumberFormat="1" applyFont="1" applyBorder="1" applyAlignment="1">
      <alignment horizontal="center" vertical="center" wrapText="1"/>
    </xf>
    <xf numFmtId="3" fontId="33" fillId="0" borderId="35" xfId="13" applyNumberFormat="1" applyFont="1" applyBorder="1" applyAlignment="1">
      <alignment horizontal="center" vertical="center" wrapText="1"/>
    </xf>
    <xf numFmtId="3" fontId="35" fillId="0" borderId="33" xfId="13" applyNumberFormat="1" applyFont="1" applyFill="1" applyBorder="1" applyAlignment="1">
      <alignment horizontal="center" vertical="center" wrapText="1"/>
    </xf>
    <xf numFmtId="3" fontId="35" fillId="0" borderId="35" xfId="13" applyNumberFormat="1" applyFont="1" applyFill="1" applyBorder="1" applyAlignment="1">
      <alignment horizontal="center" vertical="center" wrapText="1"/>
    </xf>
    <xf numFmtId="3" fontId="60" fillId="0" borderId="33" xfId="13" applyNumberFormat="1" applyFont="1" applyBorder="1" applyAlignment="1">
      <alignment horizontal="center" vertical="center" wrapText="1"/>
    </xf>
    <xf numFmtId="3" fontId="60" fillId="0" borderId="35" xfId="13" applyNumberFormat="1" applyFont="1" applyBorder="1" applyAlignment="1">
      <alignment horizontal="center" vertical="center" wrapText="1"/>
    </xf>
    <xf numFmtId="49" fontId="33" fillId="0" borderId="33" xfId="13" applyNumberFormat="1" applyFont="1" applyBorder="1" applyAlignment="1">
      <alignment horizontal="center" vertical="center" wrapText="1"/>
    </xf>
    <xf numFmtId="49" fontId="33" fillId="0" borderId="35" xfId="13" applyNumberFormat="1" applyFont="1" applyBorder="1" applyAlignment="1">
      <alignment horizontal="center" vertical="center" wrapText="1"/>
    </xf>
    <xf numFmtId="3" fontId="33" fillId="0" borderId="61" xfId="13" applyNumberFormat="1" applyFont="1" applyBorder="1" applyAlignment="1">
      <alignment horizontal="center" vertical="center"/>
    </xf>
    <xf numFmtId="3" fontId="33" fillId="0" borderId="38" xfId="13" applyNumberFormat="1" applyFont="1" applyBorder="1" applyAlignment="1">
      <alignment horizontal="center" vertical="center"/>
    </xf>
    <xf numFmtId="3" fontId="33" fillId="0" borderId="39" xfId="13" applyNumberFormat="1" applyFont="1" applyBorder="1" applyAlignment="1">
      <alignment horizontal="center" vertical="center"/>
    </xf>
    <xf numFmtId="3" fontId="9" fillId="0" borderId="0" xfId="11" applyNumberFormat="1" applyFont="1" applyFill="1" applyAlignment="1" applyProtection="1">
      <alignment horizontal="center" vertical="center" wrapText="1"/>
      <protection locked="0"/>
    </xf>
    <xf numFmtId="3" fontId="4" fillId="0" borderId="0" xfId="11" applyNumberFormat="1" applyFont="1" applyFill="1" applyAlignment="1" applyProtection="1">
      <alignment horizontal="center"/>
      <protection locked="0"/>
    </xf>
    <xf numFmtId="3" fontId="30" fillId="0" borderId="47" xfId="11" applyNumberFormat="1" applyFont="1" applyFill="1" applyBorder="1" applyAlignment="1">
      <alignment horizontal="left" vertical="center" indent="1"/>
    </xf>
    <xf numFmtId="3" fontId="30" fillId="0" borderId="41" xfId="11" applyNumberFormat="1" applyFont="1" applyFill="1" applyBorder="1" applyAlignment="1">
      <alignment horizontal="left" vertical="center" indent="1"/>
    </xf>
    <xf numFmtId="3" fontId="30" fillId="0" borderId="61" xfId="11" applyNumberFormat="1" applyFont="1" applyFill="1" applyBorder="1" applyAlignment="1">
      <alignment horizontal="center" vertical="center" wrapText="1"/>
    </xf>
    <xf numFmtId="3" fontId="30" fillId="0" borderId="89" xfId="11" applyNumberFormat="1" applyFont="1" applyFill="1" applyBorder="1" applyAlignment="1">
      <alignment horizontal="center" vertical="center" wrapText="1"/>
    </xf>
    <xf numFmtId="3" fontId="9" fillId="0" borderId="0" xfId="11" applyNumberFormat="1" applyFont="1" applyFill="1" applyAlignment="1" applyProtection="1">
      <alignment horizontal="center"/>
      <protection locked="0"/>
    </xf>
    <xf numFmtId="3" fontId="30" fillId="0" borderId="38" xfId="11" applyNumberFormat="1" applyFont="1" applyFill="1" applyBorder="1" applyAlignment="1">
      <alignment horizontal="center" vertical="center" wrapText="1"/>
    </xf>
    <xf numFmtId="3" fontId="30" fillId="0" borderId="19" xfId="11" applyNumberFormat="1" applyFont="1" applyFill="1" applyBorder="1" applyAlignment="1">
      <alignment horizontal="center" vertical="center" wrapText="1"/>
    </xf>
    <xf numFmtId="3" fontId="30" fillId="0" borderId="38" xfId="11" applyNumberFormat="1" applyFont="1" applyFill="1" applyBorder="1" applyAlignment="1">
      <alignment horizontal="center"/>
    </xf>
    <xf numFmtId="3" fontId="30" fillId="0" borderId="39" xfId="11" applyNumberFormat="1" applyFont="1" applyFill="1" applyBorder="1" applyAlignment="1">
      <alignment horizontal="center" vertical="center" wrapText="1"/>
    </xf>
    <xf numFmtId="3" fontId="30" fillId="0" borderId="36" xfId="11" applyNumberFormat="1" applyFont="1" applyFill="1" applyBorder="1" applyAlignment="1">
      <alignment horizontal="center" vertical="center" wrapText="1"/>
    </xf>
    <xf numFmtId="3" fontId="30" fillId="0" borderId="48" xfId="11" applyNumberFormat="1" applyFont="1" applyFill="1" applyBorder="1" applyAlignment="1">
      <alignment horizontal="left" vertical="center" wrapText="1" indent="1"/>
    </xf>
    <xf numFmtId="3" fontId="30" fillId="0" borderId="15" xfId="11" applyNumberFormat="1" applyFont="1" applyFill="1" applyBorder="1" applyAlignment="1">
      <alignment horizontal="left" vertical="center" wrapText="1" indent="1"/>
    </xf>
    <xf numFmtId="3" fontId="30" fillId="0" borderId="90" xfId="11" applyNumberFormat="1" applyFont="1" applyFill="1" applyBorder="1" applyAlignment="1">
      <alignment horizontal="left" vertical="center" wrapText="1" indent="1"/>
    </xf>
    <xf numFmtId="3" fontId="30" fillId="0" borderId="13" xfId="11" applyNumberFormat="1" applyFont="1" applyFill="1" applyBorder="1" applyAlignment="1">
      <alignment horizontal="left" vertical="center" indent="1"/>
    </xf>
    <xf numFmtId="0" fontId="20" fillId="0" borderId="0" xfId="13" applyFont="1" applyFill="1" applyAlignment="1">
      <alignment horizontal="center"/>
    </xf>
    <xf numFmtId="14" fontId="19" fillId="0" borderId="0" xfId="13" applyNumberFormat="1" applyFont="1" applyFill="1" applyAlignment="1">
      <alignment horizontal="center"/>
    </xf>
    <xf numFmtId="0" fontId="19" fillId="0" borderId="0" xfId="13" applyFont="1" applyFill="1" applyAlignment="1">
      <alignment horizontal="center"/>
    </xf>
    <xf numFmtId="0" fontId="35" fillId="0" borderId="95" xfId="13" applyFont="1" applyFill="1" applyBorder="1" applyAlignment="1">
      <alignment horizontal="center" vertical="center" wrapText="1"/>
    </xf>
    <xf numFmtId="0" fontId="35" fillId="0" borderId="57" xfId="13" applyFont="1" applyFill="1" applyBorder="1" applyAlignment="1">
      <alignment horizontal="center" vertical="center" wrapText="1"/>
    </xf>
    <xf numFmtId="0" fontId="35" fillId="0" borderId="91" xfId="13" applyFont="1" applyFill="1" applyBorder="1" applyAlignment="1">
      <alignment horizontal="center" vertical="center" wrapText="1"/>
    </xf>
    <xf numFmtId="0" fontId="35" fillId="0" borderId="51" xfId="13" applyFont="1" applyFill="1" applyBorder="1" applyAlignment="1">
      <alignment horizontal="center" vertical="center" wrapText="1"/>
    </xf>
    <xf numFmtId="0" fontId="35" fillId="0" borderId="31" xfId="13" applyFont="1" applyFill="1" applyBorder="1" applyAlignment="1">
      <alignment horizontal="center" vertical="center" wrapText="1"/>
    </xf>
    <xf numFmtId="0" fontId="35" fillId="0" borderId="28" xfId="13" applyFont="1" applyFill="1" applyBorder="1" applyAlignment="1">
      <alignment horizontal="center" vertical="center" wrapText="1"/>
    </xf>
    <xf numFmtId="0" fontId="35" fillId="0" borderId="85" xfId="13" applyFont="1" applyFill="1" applyBorder="1" applyAlignment="1">
      <alignment horizontal="center" vertical="center" wrapText="1"/>
    </xf>
    <xf numFmtId="0" fontId="35" fillId="0" borderId="3" xfId="13" applyFont="1" applyFill="1" applyBorder="1" applyAlignment="1">
      <alignment horizontal="center" vertical="center" wrapText="1"/>
    </xf>
    <xf numFmtId="0" fontId="35" fillId="0" borderId="87" xfId="13" applyFont="1" applyFill="1" applyBorder="1" applyAlignment="1">
      <alignment horizontal="center" vertical="center" wrapText="1"/>
    </xf>
    <xf numFmtId="0" fontId="35" fillId="0" borderId="33" xfId="13" applyFont="1" applyFill="1" applyBorder="1" applyAlignment="1">
      <alignment horizontal="center" vertical="center" wrapText="1"/>
    </xf>
    <xf numFmtId="0" fontId="35" fillId="0" borderId="46" xfId="13" applyFont="1" applyFill="1" applyBorder="1" applyAlignment="1">
      <alignment horizontal="center" vertical="center" wrapText="1"/>
    </xf>
    <xf numFmtId="0" fontId="35" fillId="0" borderId="35" xfId="13" applyFont="1" applyFill="1" applyBorder="1" applyAlignment="1">
      <alignment horizontal="center" vertical="center" wrapText="1"/>
    </xf>
    <xf numFmtId="0" fontId="35" fillId="0" borderId="15" xfId="13" applyFont="1" applyFill="1" applyBorder="1" applyAlignment="1">
      <alignment horizontal="center" vertical="center" wrapText="1"/>
    </xf>
    <xf numFmtId="0" fontId="35" fillId="0" borderId="25" xfId="13" applyFont="1" applyFill="1" applyBorder="1" applyAlignment="1">
      <alignment horizontal="center" vertical="center" wrapText="1"/>
    </xf>
    <xf numFmtId="0" fontId="59" fillId="0" borderId="14" xfId="13" applyFont="1" applyFill="1" applyBorder="1" applyAlignment="1">
      <alignment horizontal="center" vertical="center" wrapText="1"/>
    </xf>
    <xf numFmtId="0" fontId="59" fillId="0" borderId="3" xfId="13" applyFont="1" applyFill="1" applyBorder="1" applyAlignment="1">
      <alignment horizontal="center" vertical="center" wrapText="1"/>
    </xf>
    <xf numFmtId="0" fontId="59" fillId="0" borderId="87" xfId="13" applyFont="1" applyFill="1" applyBorder="1" applyAlignment="1">
      <alignment horizontal="center" vertical="center" wrapText="1"/>
    </xf>
    <xf numFmtId="0" fontId="33" fillId="0" borderId="0" xfId="13" applyFont="1" applyFill="1" applyAlignment="1">
      <alignment vertical="top" wrapText="1"/>
    </xf>
    <xf numFmtId="3" fontId="20" fillId="0" borderId="0" xfId="13" applyNumberFormat="1" applyFont="1" applyFill="1" applyAlignment="1">
      <alignment horizontal="center"/>
    </xf>
    <xf numFmtId="0" fontId="35" fillId="0" borderId="0" xfId="13" applyFont="1" applyFill="1" applyAlignment="1">
      <alignment horizontal="center"/>
    </xf>
    <xf numFmtId="3" fontId="35" fillId="0" borderId="0" xfId="13" applyNumberFormat="1" applyFont="1" applyFill="1" applyAlignment="1">
      <alignment horizontal="center"/>
    </xf>
    <xf numFmtId="3" fontId="4" fillId="0" borderId="0" xfId="11" applyNumberFormat="1" applyFont="1" applyFill="1" applyAlignment="1" applyProtection="1">
      <alignment horizontal="left"/>
      <protection locked="0"/>
    </xf>
    <xf numFmtId="0" fontId="38" fillId="0" borderId="47" xfId="11" applyFont="1" applyBorder="1" applyAlignment="1">
      <alignment horizontal="left" vertical="top" wrapText="1"/>
    </xf>
    <xf numFmtId="0" fontId="38" fillId="0" borderId="41" xfId="11" applyFont="1" applyBorder="1" applyAlignment="1">
      <alignment horizontal="left" vertical="top" wrapText="1"/>
    </xf>
    <xf numFmtId="0" fontId="37" fillId="0" borderId="49" xfId="11" applyFont="1" applyBorder="1" applyAlignment="1">
      <alignment horizontal="left" vertical="center"/>
    </xf>
    <xf numFmtId="0" fontId="37" fillId="0" borderId="42" xfId="11" applyFont="1" applyBorder="1" applyAlignment="1">
      <alignment horizontal="left" vertical="center"/>
    </xf>
    <xf numFmtId="0" fontId="38" fillId="0" borderId="47" xfId="11" applyFont="1" applyBorder="1" applyAlignment="1">
      <alignment horizontal="left"/>
    </xf>
    <xf numFmtId="0" fontId="37" fillId="0" borderId="41" xfId="11" applyFont="1" applyBorder="1" applyAlignment="1">
      <alignment horizontal="left"/>
    </xf>
    <xf numFmtId="0" fontId="37" fillId="0" borderId="49" xfId="11" applyFont="1" applyBorder="1" applyAlignment="1">
      <alignment horizontal="left"/>
    </xf>
    <xf numFmtId="0" fontId="37" fillId="0" borderId="42" xfId="11" applyFont="1" applyBorder="1" applyAlignment="1">
      <alignment horizontal="left"/>
    </xf>
    <xf numFmtId="0" fontId="37" fillId="0" borderId="53" xfId="11" applyFont="1" applyBorder="1" applyAlignment="1">
      <alignment horizontal="left"/>
    </xf>
    <xf numFmtId="0" fontId="37" fillId="0" borderId="44" xfId="11" applyFont="1" applyBorder="1" applyAlignment="1">
      <alignment horizontal="left"/>
    </xf>
    <xf numFmtId="0" fontId="38" fillId="0" borderId="11" xfId="11" applyFont="1" applyBorder="1" applyAlignment="1">
      <alignment horizontal="left"/>
    </xf>
    <xf numFmtId="0" fontId="38" fillId="0" borderId="58" xfId="11" applyFont="1" applyBorder="1" applyAlignment="1">
      <alignment horizontal="left"/>
    </xf>
    <xf numFmtId="0" fontId="38" fillId="0" borderId="47" xfId="11" applyFont="1" applyBorder="1" applyAlignment="1">
      <alignment horizontal="center" vertical="center" wrapText="1"/>
    </xf>
    <xf numFmtId="0" fontId="38" fillId="0" borderId="12" xfId="11" applyFont="1" applyBorder="1" applyAlignment="1">
      <alignment horizontal="center" vertical="center" wrapText="1"/>
    </xf>
    <xf numFmtId="0" fontId="38" fillId="0" borderId="47" xfId="11" applyFont="1" applyBorder="1" applyAlignment="1">
      <alignment horizontal="left" vertical="center" wrapText="1"/>
    </xf>
    <xf numFmtId="0" fontId="38" fillId="0" borderId="41" xfId="11" applyFont="1" applyBorder="1" applyAlignment="1">
      <alignment horizontal="left" vertical="center" wrapText="1"/>
    </xf>
    <xf numFmtId="0" fontId="38" fillId="0" borderId="61" xfId="11" applyFont="1" applyBorder="1" applyAlignment="1">
      <alignment horizontal="center" vertical="center"/>
    </xf>
    <xf numFmtId="0" fontId="38" fillId="0" borderId="54" xfId="11" applyFont="1" applyBorder="1" applyAlignment="1">
      <alignment horizontal="center" vertical="center"/>
    </xf>
    <xf numFmtId="0" fontId="38" fillId="0" borderId="89" xfId="11" applyFont="1" applyBorder="1" applyAlignment="1">
      <alignment horizontal="center" vertical="center"/>
    </xf>
    <xf numFmtId="0" fontId="38" fillId="0" borderId="99" xfId="11" applyFont="1" applyBorder="1" applyAlignment="1">
      <alignment horizontal="center" vertical="center"/>
    </xf>
    <xf numFmtId="0" fontId="38" fillId="0" borderId="61" xfId="11" applyFont="1" applyBorder="1" applyAlignment="1">
      <alignment horizontal="center"/>
    </xf>
    <xf numFmtId="0" fontId="38" fillId="0" borderId="39" xfId="11" applyFont="1" applyBorder="1" applyAlignment="1">
      <alignment horizontal="center"/>
    </xf>
    <xf numFmtId="0" fontId="37" fillId="0" borderId="55" xfId="11" applyFont="1" applyBorder="1" applyAlignment="1">
      <alignment horizontal="left" vertical="center"/>
    </xf>
    <xf numFmtId="0" fontId="37" fillId="0" borderId="7" xfId="11" applyFont="1" applyBorder="1" applyAlignment="1">
      <alignment horizontal="left" vertical="center"/>
    </xf>
    <xf numFmtId="0" fontId="38" fillId="0" borderId="0" xfId="11" applyFont="1" applyBorder="1" applyAlignment="1">
      <alignment horizontal="center" vertical="center" wrapText="1"/>
    </xf>
    <xf numFmtId="0" fontId="16" fillId="0" borderId="0" xfId="11" applyNumberFormat="1" applyFont="1" applyAlignment="1">
      <alignment horizontal="left" vertical="top" wrapText="1"/>
    </xf>
    <xf numFmtId="0" fontId="16" fillId="0" borderId="0" xfId="11" applyNumberFormat="1" applyFont="1" applyAlignment="1">
      <alignment horizontal="left" vertical="top"/>
    </xf>
    <xf numFmtId="0" fontId="39" fillId="0" borderId="0" xfId="11" applyNumberFormat="1" applyFont="1" applyAlignment="1">
      <alignment horizontal="left" vertical="top" wrapText="1"/>
    </xf>
    <xf numFmtId="0" fontId="16" fillId="0" borderId="0" xfId="11" applyNumberFormat="1" applyFont="1" applyAlignment="1">
      <alignment horizontal="justify" vertical="top"/>
    </xf>
    <xf numFmtId="0" fontId="16" fillId="0" borderId="0" xfId="11" applyNumberFormat="1" applyFont="1" applyAlignment="1">
      <alignment horizontal="justify" vertical="top" wrapText="1"/>
    </xf>
    <xf numFmtId="0" fontId="16" fillId="0" borderId="0" xfId="11" applyNumberFormat="1" applyFont="1" applyAlignment="1">
      <alignment vertical="top" wrapText="1"/>
    </xf>
    <xf numFmtId="0" fontId="16" fillId="0" borderId="0" xfId="11" applyNumberFormat="1" applyFont="1" applyAlignment="1">
      <alignment horizontal="center" vertical="top" wrapText="1"/>
    </xf>
    <xf numFmtId="0" fontId="15" fillId="0" borderId="0" xfId="11" applyFont="1" applyAlignment="1">
      <alignment horizontal="left" vertical="top" wrapText="1"/>
    </xf>
    <xf numFmtId="0" fontId="16" fillId="0" borderId="0" xfId="11" applyFont="1" applyAlignment="1">
      <alignment horizontal="left" vertical="top" wrapText="1"/>
    </xf>
    <xf numFmtId="0" fontId="16" fillId="0" borderId="0" xfId="11" applyFont="1" applyAlignment="1">
      <alignment horizontal="justify" vertical="top" wrapText="1"/>
    </xf>
    <xf numFmtId="0" fontId="15" fillId="0" borderId="0" xfId="11" applyFont="1" applyAlignment="1">
      <alignment horizontal="justify" vertical="top" wrapText="1"/>
    </xf>
    <xf numFmtId="0" fontId="16" fillId="0" borderId="0" xfId="11" applyNumberFormat="1" applyFont="1" applyBorder="1" applyAlignment="1">
      <alignment horizontal="left" vertical="top" wrapText="1"/>
    </xf>
    <xf numFmtId="0" fontId="20" fillId="0" borderId="0" xfId="11" applyNumberFormat="1" applyFont="1" applyAlignment="1">
      <alignment horizontal="center" vertical="top"/>
    </xf>
    <xf numFmtId="0" fontId="9" fillId="0" borderId="0" xfId="11" applyFont="1" applyAlignment="1">
      <alignment horizontal="center" vertical="center" wrapText="1"/>
    </xf>
    <xf numFmtId="0" fontId="12" fillId="0" borderId="61" xfId="11" applyFont="1" applyBorder="1" applyAlignment="1">
      <alignment horizontal="center" wrapText="1"/>
    </xf>
    <xf numFmtId="0" fontId="12" fillId="0" borderId="63" xfId="11" applyFont="1" applyBorder="1" applyAlignment="1">
      <alignment horizontal="center" wrapText="1"/>
    </xf>
    <xf numFmtId="0" fontId="12" fillId="0" borderId="39" xfId="11" applyFont="1" applyBorder="1" applyAlignment="1">
      <alignment horizontal="center" wrapText="1"/>
    </xf>
    <xf numFmtId="0" fontId="12" fillId="0" borderId="26" xfId="11" applyFont="1" applyBorder="1" applyAlignment="1">
      <alignment horizontal="center" wrapText="1"/>
    </xf>
    <xf numFmtId="0" fontId="12" fillId="0" borderId="61" xfId="11" applyFont="1" applyBorder="1" applyAlignment="1">
      <alignment horizontal="center"/>
    </xf>
    <xf numFmtId="0" fontId="12" fillId="0" borderId="38" xfId="11" applyFont="1" applyBorder="1" applyAlignment="1">
      <alignment horizontal="center"/>
    </xf>
    <xf numFmtId="0" fontId="12" fillId="0" borderId="39" xfId="11" applyFont="1" applyBorder="1" applyAlignment="1">
      <alignment horizontal="center"/>
    </xf>
  </cellXfs>
  <cellStyles count="43">
    <cellStyle name="Ezres 2" xfId="1"/>
    <cellStyle name="Ezres 2 2" xfId="2"/>
    <cellStyle name="Ezres 2 3" xfId="3"/>
    <cellStyle name="Ezres 3" xfId="4"/>
    <cellStyle name="Ezres 4" xfId="5"/>
    <cellStyle name="Hiperhivatkozás" xfId="6"/>
    <cellStyle name="ktsgv" xfId="7"/>
    <cellStyle name="Már látott hiperhivatkozás" xfId="8"/>
    <cellStyle name="Normál" xfId="0" builtinId="0"/>
    <cellStyle name="Normál 10" xfId="9"/>
    <cellStyle name="Normál 2" xfId="10"/>
    <cellStyle name="Normál 2 2" xfId="11"/>
    <cellStyle name="Normál 2 3" xfId="12"/>
    <cellStyle name="Normál 2 4" xfId="13"/>
    <cellStyle name="Normál 3" xfId="14"/>
    <cellStyle name="Normál 3 2" xfId="15"/>
    <cellStyle name="Normál 4" xfId="16"/>
    <cellStyle name="Normál 4 2" xfId="17"/>
    <cellStyle name="Normál 4 3" xfId="18"/>
    <cellStyle name="Normál 5" xfId="19"/>
    <cellStyle name="Normál 5 2" xfId="20"/>
    <cellStyle name="Normál 6" xfId="21"/>
    <cellStyle name="Normál 6 2" xfId="22"/>
    <cellStyle name="Normál 7" xfId="23"/>
    <cellStyle name="Normál 8" xfId="24"/>
    <cellStyle name="Normál 9" xfId="25"/>
    <cellStyle name="Normál_adótelj_terv04" xfId="26"/>
    <cellStyle name="Normal_KARSZJ3" xfId="27"/>
    <cellStyle name="Normál_ktgv2008_másodikforduló" xfId="28"/>
    <cellStyle name="Normal_KTRSZJ" xfId="29"/>
    <cellStyle name="Normál_kv05első" xfId="30"/>
    <cellStyle name="Normál_KVRENMUNKA" xfId="31"/>
    <cellStyle name="Normál_Munkafüzet1" xfId="32"/>
    <cellStyle name="Normál_SEGEDLETEK" xfId="33"/>
    <cellStyle name="Normál12" xfId="34"/>
    <cellStyle name="SIMA" xfId="35"/>
    <cellStyle name="Százalék" xfId="36" builtinId="5"/>
    <cellStyle name="Százalék 2" xfId="37"/>
    <cellStyle name="Százalék 2 2" xfId="38"/>
    <cellStyle name="Százalék 2 3" xfId="39"/>
    <cellStyle name="Százalék 2 4" xfId="40"/>
    <cellStyle name="Százalék 3" xfId="41"/>
    <cellStyle name="Százalék 4" xfId="42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6/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7/normat&#237;vafelm&#233;r&#233;s200611h&#243;/4002_kit&#246;lt&#246;tt1204(V&#201;GLEGE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csegi.gabor/My%20Documents/Dokumentumok/PH/Besz&#225;mol&#243;2018/2018.%20&#233;vi%20z&#225;rsz&#225;mad&#225;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csegi/My%20Documents/Dokumentumok/PH/Besz&#225;mol&#243;2014/2014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1.mell._Össz_Mérleg2018"/>
      <sheetName val="1.1.mell._ÖNK_Mérleg2018"/>
      <sheetName val="1.2.mell._HKÖH_Mérleg2018"/>
      <sheetName val="1.3.mell._HVÓBKI_Mérleg2018"/>
      <sheetName val="1.4.mell._HKK_Mérleg2018"/>
      <sheetName val="1.5._mell._MŐSZ_Mérleg2018"/>
      <sheetName val="1.6._mell._HVGYKCSSZ_Mérleg2018"/>
      <sheetName val="2.a.mell._MMérleg2018"/>
      <sheetName val="2.b.mell._FMérleg2018"/>
      <sheetName val="3. mell._létszám2018"/>
      <sheetName val="4. mell. EUprojektek2017"/>
      <sheetName val="5.mell_adósság2018"/>
      <sheetName val="6.mell_Többévesköt.2018"/>
      <sheetName val="7. mell_KözvetettTám2018"/>
      <sheetName val="8.mell_EIfelhterv2018"/>
      <sheetName val="9.mell_ÖsszMérleg(telj)2018"/>
      <sheetName val="10.mell_támogatások2018"/>
      <sheetName val="11.mell_felhKiad2018"/>
      <sheetName val="12.mell_céltámogatások2018"/>
      <sheetName val="13.mell_ÖNKfeladatok2018"/>
      <sheetName val="14.mell_Önk kiegészítés2018"/>
      <sheetName val="15.mell 2018K01"/>
      <sheetName val="16.mell 2018K02"/>
      <sheetName val="17.mell 2018K03"/>
      <sheetName val="18.mell 2018K04"/>
      <sheetName val="19.mell 2018K12"/>
      <sheetName val="20.mell 2018K13"/>
      <sheetName val="21.mell Vagyonkim2018"/>
      <sheetName val="22.mell Részesedések2018"/>
      <sheetName val="23.mell_Adósságáll2018"/>
      <sheetName val="24.Hitelek2018"/>
      <sheetName val="25.mell_maradvány2018"/>
      <sheetName val="26.mell_maradványfeloszt2018"/>
      <sheetName val="15.mell_Tartozások2018"/>
      <sheetName val="16.mell_Étkezésdíj2018"/>
      <sheetName val="1.függVárosüzem2018"/>
      <sheetName val="2.függ_adósság2018 (határozat)"/>
    </sheetNames>
    <sheetDataSet>
      <sheetData sheetId="0" refreshError="1"/>
      <sheetData sheetId="1">
        <row r="102">
          <cell r="F102">
            <v>0.96794256447987859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70">
          <cell r="E70">
            <v>0</v>
          </cell>
        </row>
      </sheetData>
      <sheetData sheetId="7" refreshError="1"/>
      <sheetData sheetId="8">
        <row r="33">
          <cell r="F33">
            <v>0.93308842484224486</v>
          </cell>
          <cell r="N33">
            <v>0.372068931601307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1.mell._Össz_Mérleg2014"/>
      <sheetName val="1.1.mell._ÖNK_Mérleg2014"/>
      <sheetName val="1.2.mell._PH_Mérleg2014"/>
      <sheetName val="1.3.mell._HVÓBKI_Mérleg2014"/>
      <sheetName val="1.4.mell._HKK_Mérleg2014"/>
      <sheetName val="1.5.mell._MŐSZ_Mérleg2014"/>
      <sheetName val="2.a.mell._MMérleg2014"/>
      <sheetName val="2.b.mell._FMérleg2014"/>
      <sheetName val="3. mell._létszám2014"/>
      <sheetName val="4. mell. EUprojektek2014"/>
      <sheetName val="5.mell_adósság2014"/>
      <sheetName val="6.mell_Többévesköt.2014"/>
      <sheetName val="7. mell_KözvetettTám2014"/>
      <sheetName val="8.mell_EIfelhterv2014"/>
      <sheetName val="9.mell_ÖsszMérleg(telj)2014"/>
      <sheetName val="10.mell_támogatások2014"/>
      <sheetName val="11.mell_felhKiad2014"/>
      <sheetName val="12.mell_céltámogatások2014"/>
      <sheetName val="13.mell_ÖNKfeladatok2014"/>
      <sheetName val="14.mell_Önk kiegészítés2014"/>
      <sheetName val="15.mell 2014K01"/>
      <sheetName val="16.mell 2014K02"/>
      <sheetName val="17.mell 2014K03"/>
      <sheetName val="18.mell 2014K04"/>
      <sheetName val="19.mell 2014K12"/>
      <sheetName val="20.mell 2014K13"/>
      <sheetName val="21.mell Vagyonkim2014"/>
      <sheetName val="22.mell Részesedések2014"/>
      <sheetName val="23.mell_Adósságáll2014"/>
      <sheetName val="24.mell Hitelek2014"/>
      <sheetName val="25.mell_maradvány2014"/>
      <sheetName val="26.mell_maradványfeloszt2014"/>
    </sheetNames>
    <sheetDataSet>
      <sheetData sheetId="0" refreshError="1"/>
      <sheetData sheetId="1" refreshError="1"/>
      <sheetData sheetId="2" refreshError="1">
        <row r="65">
          <cell r="E65">
            <v>2608911</v>
          </cell>
        </row>
        <row r="92">
          <cell r="E92">
            <v>355925</v>
          </cell>
        </row>
        <row r="165">
          <cell r="E165">
            <v>1511926</v>
          </cell>
        </row>
        <row r="192">
          <cell r="E192">
            <v>841906</v>
          </cell>
        </row>
      </sheetData>
      <sheetData sheetId="3" refreshError="1">
        <row r="65">
          <cell r="E65">
            <v>42075</v>
          </cell>
        </row>
        <row r="92">
          <cell r="E92">
            <v>258886</v>
          </cell>
        </row>
        <row r="165">
          <cell r="E165">
            <v>299391</v>
          </cell>
        </row>
      </sheetData>
      <sheetData sheetId="4" refreshError="1">
        <row r="65">
          <cell r="E65">
            <v>31566</v>
          </cell>
        </row>
        <row r="92">
          <cell r="E92">
            <v>369677</v>
          </cell>
        </row>
        <row r="165">
          <cell r="E165">
            <v>400777</v>
          </cell>
        </row>
      </sheetData>
      <sheetData sheetId="5" refreshError="1">
        <row r="65">
          <cell r="E65">
            <v>7274</v>
          </cell>
        </row>
        <row r="92">
          <cell r="E92">
            <v>71386</v>
          </cell>
        </row>
        <row r="165">
          <cell r="E165">
            <v>78096</v>
          </cell>
        </row>
      </sheetData>
      <sheetData sheetId="6" refreshError="1">
        <row r="65">
          <cell r="E65">
            <v>0</v>
          </cell>
        </row>
        <row r="92">
          <cell r="E92">
            <v>4894</v>
          </cell>
        </row>
        <row r="165">
          <cell r="E165">
            <v>4890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K37"/>
  <sheetViews>
    <sheetView tabSelected="1" zoomScaleNormal="100" workbookViewId="0">
      <selection sqref="A1:C1"/>
    </sheetView>
  </sheetViews>
  <sheetFormatPr defaultColWidth="79" defaultRowHeight="12.75"/>
  <cols>
    <col min="1" max="1" width="2.42578125" style="604" bestFit="1" customWidth="1"/>
    <col min="2" max="2" width="23.28515625" style="722" customWidth="1"/>
    <col min="3" max="3" width="89.7109375" style="605" customWidth="1"/>
    <col min="4" max="16384" width="79" style="604"/>
  </cols>
  <sheetData>
    <row r="1" spans="1:11" s="598" customFormat="1" ht="18.75">
      <c r="A1" s="1787" t="s">
        <v>836</v>
      </c>
      <c r="B1" s="1787"/>
      <c r="C1" s="1787"/>
      <c r="D1" s="597"/>
      <c r="E1" s="597"/>
      <c r="F1" s="597"/>
      <c r="G1" s="597"/>
      <c r="H1" s="597"/>
      <c r="I1" s="597"/>
      <c r="J1" s="597"/>
      <c r="K1" s="597"/>
    </row>
    <row r="2" spans="1:11" s="598" customFormat="1">
      <c r="B2" s="721"/>
      <c r="C2" s="599"/>
    </row>
    <row r="3" spans="1:11" s="598" customFormat="1" ht="15.75">
      <c r="A3" s="1788" t="s">
        <v>2640</v>
      </c>
      <c r="B3" s="1788"/>
      <c r="C3" s="1788"/>
      <c r="D3" s="597"/>
      <c r="E3" s="597"/>
      <c r="F3" s="597"/>
      <c r="G3" s="597"/>
      <c r="H3" s="597"/>
      <c r="I3" s="597"/>
      <c r="J3" s="597"/>
      <c r="K3" s="597"/>
    </row>
    <row r="4" spans="1:11" s="598" customFormat="1">
      <c r="B4" s="721"/>
      <c r="C4" s="599"/>
    </row>
    <row r="5" spans="1:11" s="598" customFormat="1">
      <c r="B5" s="600" t="s">
        <v>47</v>
      </c>
      <c r="C5" s="600" t="s">
        <v>1473</v>
      </c>
      <c r="F5" s="601"/>
      <c r="G5" s="601"/>
      <c r="H5" s="601"/>
      <c r="I5" s="601"/>
      <c r="J5" s="601"/>
      <c r="K5" s="601"/>
    </row>
    <row r="6" spans="1:11" s="598" customFormat="1">
      <c r="B6" s="600" t="s">
        <v>353</v>
      </c>
      <c r="C6" s="600" t="s">
        <v>1474</v>
      </c>
      <c r="F6" s="601"/>
      <c r="G6" s="601"/>
      <c r="H6" s="601"/>
      <c r="I6" s="601"/>
      <c r="J6" s="601"/>
      <c r="K6" s="601"/>
    </row>
    <row r="7" spans="1:11" s="598" customFormat="1">
      <c r="B7" s="600" t="s">
        <v>355</v>
      </c>
      <c r="C7" s="600" t="s">
        <v>1475</v>
      </c>
      <c r="F7" s="601"/>
      <c r="G7" s="601"/>
      <c r="H7" s="601"/>
      <c r="I7" s="601"/>
      <c r="J7" s="601"/>
      <c r="K7" s="601"/>
    </row>
    <row r="8" spans="1:11" s="598" customFormat="1">
      <c r="B8" s="600" t="s">
        <v>356</v>
      </c>
      <c r="C8" s="600" t="s">
        <v>1476</v>
      </c>
      <c r="F8" s="601"/>
      <c r="G8" s="601"/>
      <c r="H8" s="601"/>
      <c r="I8" s="601"/>
      <c r="J8" s="601"/>
      <c r="K8" s="601"/>
    </row>
    <row r="9" spans="1:11" s="598" customFormat="1">
      <c r="B9" s="600" t="s">
        <v>358</v>
      </c>
      <c r="C9" s="600" t="s">
        <v>1477</v>
      </c>
      <c r="F9" s="601"/>
      <c r="G9" s="601"/>
      <c r="H9" s="601"/>
      <c r="I9" s="601"/>
      <c r="J9" s="601"/>
      <c r="K9" s="601"/>
    </row>
    <row r="10" spans="1:11" s="598" customFormat="1">
      <c r="B10" s="600" t="s">
        <v>871</v>
      </c>
      <c r="C10" s="600" t="s">
        <v>1478</v>
      </c>
      <c r="F10" s="601"/>
      <c r="G10" s="601"/>
      <c r="H10" s="601"/>
      <c r="I10" s="601"/>
      <c r="J10" s="601"/>
      <c r="K10" s="601"/>
    </row>
    <row r="11" spans="1:11" s="598" customFormat="1">
      <c r="B11" s="600" t="s">
        <v>1083</v>
      </c>
      <c r="C11" s="600" t="s">
        <v>1479</v>
      </c>
      <c r="F11" s="601"/>
      <c r="G11" s="601"/>
      <c r="H11" s="601"/>
      <c r="I11" s="601"/>
      <c r="J11" s="601"/>
      <c r="K11" s="601"/>
    </row>
    <row r="12" spans="1:11" s="598" customFormat="1">
      <c r="B12" s="600" t="s">
        <v>388</v>
      </c>
      <c r="C12" s="600" t="s">
        <v>837</v>
      </c>
      <c r="F12" s="601"/>
      <c r="G12" s="601"/>
      <c r="H12" s="601"/>
      <c r="I12" s="601"/>
      <c r="J12" s="601"/>
      <c r="K12" s="601"/>
    </row>
    <row r="13" spans="1:11" s="598" customFormat="1">
      <c r="B13" s="600" t="s">
        <v>391</v>
      </c>
      <c r="C13" s="600" t="s">
        <v>838</v>
      </c>
      <c r="F13" s="601"/>
      <c r="G13" s="601"/>
      <c r="H13" s="601"/>
      <c r="I13" s="601"/>
      <c r="J13" s="601"/>
      <c r="K13" s="601"/>
    </row>
    <row r="14" spans="1:11" s="598" customFormat="1">
      <c r="B14" s="600" t="s">
        <v>425</v>
      </c>
      <c r="C14" s="602" t="s">
        <v>1480</v>
      </c>
      <c r="F14" s="601"/>
      <c r="G14" s="601"/>
      <c r="H14" s="601"/>
      <c r="I14" s="601"/>
      <c r="J14" s="601"/>
      <c r="K14" s="601"/>
    </row>
    <row r="15" spans="1:11" s="598" customFormat="1">
      <c r="B15" s="600" t="s">
        <v>444</v>
      </c>
      <c r="C15" s="602" t="s">
        <v>839</v>
      </c>
      <c r="F15" s="601"/>
      <c r="G15" s="601"/>
      <c r="H15" s="601"/>
      <c r="I15" s="601"/>
      <c r="J15" s="601"/>
      <c r="K15" s="601"/>
    </row>
    <row r="16" spans="1:11" s="598" customFormat="1" ht="25.5">
      <c r="B16" s="600" t="s">
        <v>456</v>
      </c>
      <c r="C16" s="600" t="s">
        <v>840</v>
      </c>
      <c r="F16" s="601"/>
    </row>
    <row r="17" spans="2:11" s="598" customFormat="1">
      <c r="B17" s="600" t="s">
        <v>492</v>
      </c>
      <c r="C17" s="600" t="s">
        <v>481</v>
      </c>
    </row>
    <row r="18" spans="2:11" s="598" customFormat="1">
      <c r="B18" s="602" t="s">
        <v>493</v>
      </c>
      <c r="C18" s="602" t="s">
        <v>1316</v>
      </c>
      <c r="F18" s="601"/>
      <c r="G18" s="601"/>
      <c r="H18" s="601"/>
      <c r="I18" s="601"/>
      <c r="J18" s="601"/>
      <c r="K18" s="601"/>
    </row>
    <row r="19" spans="2:11" s="598" customFormat="1">
      <c r="B19" s="600" t="s">
        <v>841</v>
      </c>
      <c r="C19" s="600" t="s">
        <v>2641</v>
      </c>
      <c r="F19" s="601"/>
      <c r="G19" s="601"/>
      <c r="H19" s="601"/>
      <c r="I19" s="601"/>
      <c r="J19" s="601"/>
      <c r="K19" s="601"/>
    </row>
    <row r="20" spans="2:11" s="598" customFormat="1" ht="25.5">
      <c r="B20" s="602" t="s">
        <v>429</v>
      </c>
      <c r="C20" s="600" t="s">
        <v>1481</v>
      </c>
      <c r="E20" s="601"/>
      <c r="F20" s="603"/>
      <c r="G20" s="603"/>
      <c r="H20" s="603"/>
      <c r="I20" s="603"/>
      <c r="J20" s="603"/>
      <c r="K20" s="603"/>
    </row>
    <row r="21" spans="2:11" s="598" customFormat="1" ht="25.5">
      <c r="B21" s="602" t="s">
        <v>480</v>
      </c>
      <c r="C21" s="599" t="s">
        <v>1482</v>
      </c>
      <c r="E21" s="601"/>
      <c r="F21" s="603"/>
      <c r="G21" s="603"/>
      <c r="H21" s="603"/>
      <c r="I21" s="603"/>
      <c r="J21" s="603"/>
      <c r="K21" s="603"/>
    </row>
    <row r="22" spans="2:11" s="598" customFormat="1">
      <c r="B22" s="602" t="s">
        <v>512</v>
      </c>
      <c r="C22" s="598" t="s">
        <v>1483</v>
      </c>
      <c r="E22" s="601"/>
      <c r="F22" s="603"/>
      <c r="G22" s="603"/>
      <c r="H22" s="603"/>
      <c r="I22" s="603"/>
      <c r="J22" s="603"/>
      <c r="K22" s="603"/>
    </row>
    <row r="23" spans="2:11">
      <c r="B23" s="602" t="s">
        <v>787</v>
      </c>
      <c r="C23" s="604" t="s">
        <v>1484</v>
      </c>
    </row>
    <row r="24" spans="2:11">
      <c r="B24" s="602" t="s">
        <v>749</v>
      </c>
      <c r="C24" s="604" t="s">
        <v>842</v>
      </c>
    </row>
    <row r="25" spans="2:11">
      <c r="B25" s="602" t="s">
        <v>600</v>
      </c>
      <c r="C25" s="604" t="s">
        <v>843</v>
      </c>
    </row>
    <row r="26" spans="2:11">
      <c r="B26" s="602" t="s">
        <v>788</v>
      </c>
      <c r="C26" s="604" t="s">
        <v>1570</v>
      </c>
    </row>
    <row r="27" spans="2:11">
      <c r="B27" s="602" t="s">
        <v>844</v>
      </c>
      <c r="C27" s="604" t="s">
        <v>1571</v>
      </c>
    </row>
    <row r="28" spans="2:11">
      <c r="B28" s="602" t="s">
        <v>1572</v>
      </c>
      <c r="C28" s="604" t="s">
        <v>1573</v>
      </c>
    </row>
    <row r="29" spans="2:11">
      <c r="B29" s="602" t="s">
        <v>1574</v>
      </c>
      <c r="C29" s="604" t="s">
        <v>1575</v>
      </c>
    </row>
    <row r="30" spans="2:11">
      <c r="B30" s="602" t="s">
        <v>1576</v>
      </c>
      <c r="C30" s="604" t="s">
        <v>1577</v>
      </c>
    </row>
    <row r="31" spans="2:11">
      <c r="B31" s="602" t="s">
        <v>1578</v>
      </c>
      <c r="C31" s="1296" t="s">
        <v>1579</v>
      </c>
    </row>
    <row r="32" spans="2:11">
      <c r="B32" s="602" t="s">
        <v>1580</v>
      </c>
      <c r="C32" s="605" t="s">
        <v>2642</v>
      </c>
    </row>
    <row r="33" spans="2:3" ht="25.5">
      <c r="B33" s="602" t="s">
        <v>1581</v>
      </c>
      <c r="C33" s="605" t="s">
        <v>1582</v>
      </c>
    </row>
    <row r="34" spans="2:3">
      <c r="B34" s="602" t="s">
        <v>1583</v>
      </c>
      <c r="C34" s="605" t="s">
        <v>1584</v>
      </c>
    </row>
    <row r="35" spans="2:3">
      <c r="B35" s="602" t="s">
        <v>1585</v>
      </c>
      <c r="C35" s="602" t="s">
        <v>2643</v>
      </c>
    </row>
    <row r="36" spans="2:3">
      <c r="B36" s="600" t="s">
        <v>1586</v>
      </c>
      <c r="C36" s="602" t="s">
        <v>1587</v>
      </c>
    </row>
    <row r="37" spans="2:3">
      <c r="B37" s="602" t="s">
        <v>1588</v>
      </c>
      <c r="C37" s="605" t="s">
        <v>2644</v>
      </c>
    </row>
  </sheetData>
  <mergeCells count="2">
    <mergeCell ref="A1:C1"/>
    <mergeCell ref="A3:C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4">
    <tabColor rgb="FF00B0F0"/>
    <pageSetUpPr fitToPage="1"/>
  </sheetPr>
  <dimension ref="A1:Q39"/>
  <sheetViews>
    <sheetView zoomScaleNormal="100" workbookViewId="0"/>
  </sheetViews>
  <sheetFormatPr defaultRowHeight="12"/>
  <cols>
    <col min="1" max="1" width="6.5703125" style="4" customWidth="1"/>
    <col min="2" max="2" width="70.42578125" style="4" customWidth="1"/>
    <col min="3" max="5" width="9.28515625" style="4" customWidth="1"/>
    <col min="6" max="6" width="9.28515625" style="1565" customWidth="1"/>
    <col min="7" max="9" width="9.28515625" style="4" customWidth="1"/>
    <col min="10" max="10" width="60" style="4" customWidth="1"/>
    <col min="11" max="13" width="9.28515625" style="4" customWidth="1"/>
    <col min="14" max="14" width="9.28515625" style="1565" customWidth="1"/>
    <col min="15" max="17" width="9.28515625" style="4" customWidth="1"/>
    <col min="18" max="16384" width="9.140625" style="4"/>
  </cols>
  <sheetData>
    <row r="1" spans="1:17" s="50" customFormat="1" ht="15.75">
      <c r="F1" s="1547"/>
      <c r="N1" s="1547"/>
      <c r="Q1" s="51" t="s">
        <v>391</v>
      </c>
    </row>
    <row r="2" spans="1:17" s="50" customFormat="1" ht="15.75">
      <c r="F2" s="1547"/>
      <c r="N2" s="1547"/>
    </row>
    <row r="3" spans="1:17" s="52" customFormat="1" ht="15.75">
      <c r="A3" s="1789" t="s">
        <v>331</v>
      </c>
      <c r="B3" s="1789"/>
      <c r="C3" s="1789"/>
      <c r="D3" s="1789"/>
      <c r="E3" s="1789"/>
      <c r="F3" s="1789"/>
      <c r="G3" s="1789"/>
      <c r="H3" s="1789"/>
      <c r="I3" s="1789"/>
      <c r="J3" s="1789"/>
      <c r="K3" s="1789"/>
      <c r="L3" s="1789"/>
      <c r="M3" s="1789"/>
      <c r="N3" s="1789"/>
      <c r="O3" s="1789"/>
      <c r="P3" s="1789"/>
      <c r="Q3" s="1789"/>
    </row>
    <row r="4" spans="1:17" s="52" customFormat="1" ht="15.75">
      <c r="A4" s="1789" t="s">
        <v>1310</v>
      </c>
      <c r="B4" s="1789"/>
      <c r="C4" s="1789"/>
      <c r="D4" s="1789"/>
      <c r="E4" s="1789"/>
      <c r="F4" s="1789"/>
      <c r="G4" s="1789"/>
      <c r="H4" s="1789"/>
      <c r="I4" s="1789"/>
      <c r="J4" s="1789"/>
      <c r="K4" s="1789"/>
      <c r="L4" s="1789"/>
      <c r="M4" s="1789"/>
      <c r="N4" s="1789"/>
      <c r="O4" s="1789"/>
      <c r="P4" s="1789"/>
      <c r="Q4" s="1789"/>
    </row>
    <row r="5" spans="1:17" s="36" customFormat="1" ht="12.75" thickBot="1">
      <c r="A5" s="38"/>
      <c r="F5" s="1548"/>
      <c r="N5" s="1548"/>
      <c r="Q5" s="37" t="s">
        <v>281</v>
      </c>
    </row>
    <row r="6" spans="1:17" s="8" customFormat="1" ht="54" customHeight="1" thickBot="1">
      <c r="A6" s="79" t="s">
        <v>17</v>
      </c>
      <c r="B6" s="93" t="s">
        <v>328</v>
      </c>
      <c r="C6" s="1101" t="s">
        <v>1553</v>
      </c>
      <c r="D6" s="6" t="s">
        <v>1554</v>
      </c>
      <c r="E6" s="6" t="s">
        <v>2646</v>
      </c>
      <c r="F6" s="1549" t="s">
        <v>2645</v>
      </c>
      <c r="G6" s="131" t="s">
        <v>51</v>
      </c>
      <c r="H6" s="130" t="s">
        <v>52</v>
      </c>
      <c r="I6" s="129" t="s">
        <v>53</v>
      </c>
      <c r="J6" s="80" t="s">
        <v>329</v>
      </c>
      <c r="K6" s="1101" t="s">
        <v>1553</v>
      </c>
      <c r="L6" s="6" t="s">
        <v>1554</v>
      </c>
      <c r="M6" s="6" t="s">
        <v>2646</v>
      </c>
      <c r="N6" s="1549" t="s">
        <v>2645</v>
      </c>
      <c r="O6" s="131" t="s">
        <v>51</v>
      </c>
      <c r="P6" s="130" t="s">
        <v>52</v>
      </c>
      <c r="Q6" s="129" t="s">
        <v>53</v>
      </c>
    </row>
    <row r="7" spans="1:17" s="3" customFormat="1" ht="12.75" thickBot="1">
      <c r="A7" s="83" t="s">
        <v>253</v>
      </c>
      <c r="B7" s="94" t="s">
        <v>254</v>
      </c>
      <c r="C7" s="1798" t="s">
        <v>255</v>
      </c>
      <c r="D7" s="1799"/>
      <c r="E7" s="1799"/>
      <c r="F7" s="1799"/>
      <c r="G7" s="1799"/>
      <c r="H7" s="1799"/>
      <c r="I7" s="1800"/>
      <c r="J7" s="82" t="s">
        <v>361</v>
      </c>
      <c r="K7" s="1798" t="s">
        <v>255</v>
      </c>
      <c r="L7" s="1799"/>
      <c r="M7" s="1799"/>
      <c r="N7" s="1799"/>
      <c r="O7" s="1799"/>
      <c r="P7" s="1799"/>
      <c r="Q7" s="1800"/>
    </row>
    <row r="8" spans="1:17" s="3" customFormat="1" ht="12.75" thickBot="1">
      <c r="A8" s="95" t="s">
        <v>4</v>
      </c>
      <c r="B8" s="63" t="s">
        <v>402</v>
      </c>
      <c r="C8" s="1133">
        <f t="shared" ref="C8:E8" si="0">+C9+C11+C13+C15</f>
        <v>389249</v>
      </c>
      <c r="D8" s="1142">
        <f t="shared" si="0"/>
        <v>1227138</v>
      </c>
      <c r="E8" s="1142">
        <f t="shared" si="0"/>
        <v>1220568</v>
      </c>
      <c r="F8" s="1568">
        <f>IF(ISERROR(E8/D8),"-",E8/D8)</f>
        <v>0.9946460789251087</v>
      </c>
      <c r="G8" s="31">
        <f>+G9+G11+G13+G15</f>
        <v>1219730</v>
      </c>
      <c r="H8" s="32">
        <f>+H9+H11+H13+H15</f>
        <v>838</v>
      </c>
      <c r="I8" s="33">
        <f>+I9+I11+I13+I15</f>
        <v>0</v>
      </c>
      <c r="J8" s="69" t="s">
        <v>403</v>
      </c>
      <c r="K8" s="1134">
        <f t="shared" ref="K8:M8" si="1">+K9+K11+K13+K15+K16</f>
        <v>485974</v>
      </c>
      <c r="L8" s="1143">
        <f t="shared" si="1"/>
        <v>1351199</v>
      </c>
      <c r="M8" s="1143">
        <f t="shared" si="1"/>
        <v>1068830</v>
      </c>
      <c r="N8" s="1568">
        <f>IF(ISERROR(M8/L8),"-",M8/L8)</f>
        <v>0.79102337997585848</v>
      </c>
      <c r="O8" s="27">
        <f>+O9+O11+O13+O15+O16</f>
        <v>1063788</v>
      </c>
      <c r="P8" s="28">
        <f>+P9+P11+P13+P15+P16</f>
        <v>5042</v>
      </c>
      <c r="Q8" s="29">
        <f>+Q9+Q11+Q13+Q15+Q16</f>
        <v>0</v>
      </c>
    </row>
    <row r="9" spans="1:17" ht="12.75" customHeight="1">
      <c r="A9" s="125" t="s">
        <v>5</v>
      </c>
      <c r="B9" s="120" t="s">
        <v>399</v>
      </c>
      <c r="C9" s="1165">
        <f>+'1.mell._Össz_Mérleg2019'!C51</f>
        <v>377399</v>
      </c>
      <c r="D9" s="1167">
        <f>+'1.mell._Össz_Mérleg2019'!D51</f>
        <v>1215708</v>
      </c>
      <c r="E9" s="1167">
        <f>+'1.mell._Össz_Mérleg2019'!E51</f>
        <v>1215708</v>
      </c>
      <c r="F9" s="1574">
        <f>IF(ISERROR(E9/D9),"-",E9/D9)</f>
        <v>1</v>
      </c>
      <c r="G9" s="49">
        <f>+'1.mell._Össz_Mérleg2019'!G51</f>
        <v>1215708</v>
      </c>
      <c r="H9" s="47">
        <f>+'1.mell._Össz_Mérleg2019'!H51</f>
        <v>0</v>
      </c>
      <c r="I9" s="48">
        <f>+'1.mell._Össz_Mérleg2019'!I51</f>
        <v>0</v>
      </c>
      <c r="J9" s="126" t="s">
        <v>404</v>
      </c>
      <c r="K9" s="1165">
        <f>+'1.mell._Össz_Mérleg2019'!C150</f>
        <v>466298</v>
      </c>
      <c r="L9" s="1167">
        <f>+'1.mell._Össz_Mérleg2019'!D150</f>
        <v>931483</v>
      </c>
      <c r="M9" s="1167">
        <f>+'1.mell._Össz_Mérleg2019'!E150</f>
        <v>816299</v>
      </c>
      <c r="N9" s="1574">
        <f>IF(ISERROR(M9/L9),"-",M9/L9)</f>
        <v>0.87634342226320827</v>
      </c>
      <c r="O9" s="49">
        <f>+'1.mell._Össz_Mérleg2019'!G150</f>
        <v>811257</v>
      </c>
      <c r="P9" s="47">
        <f>+'1.mell._Össz_Mérleg2019'!H150</f>
        <v>5042</v>
      </c>
      <c r="Q9" s="48">
        <f>+'1.mell._Össz_Mérleg2019'!I150</f>
        <v>0</v>
      </c>
    </row>
    <row r="10" spans="1:17" s="13" customFormat="1" ht="24">
      <c r="A10" s="86" t="s">
        <v>349</v>
      </c>
      <c r="B10" s="136"/>
      <c r="C10" s="1136"/>
      <c r="D10" s="1145"/>
      <c r="E10" s="1145"/>
      <c r="F10" s="1562"/>
      <c r="G10" s="19"/>
      <c r="H10" s="12"/>
      <c r="I10" s="15"/>
      <c r="J10" s="138" t="s">
        <v>342</v>
      </c>
      <c r="K10" s="1136">
        <f>+'1.mell._Össz_Mérleg2019'!C151</f>
        <v>0</v>
      </c>
      <c r="L10" s="1145">
        <f>+'1.mell._Össz_Mérleg2019'!D151</f>
        <v>687310</v>
      </c>
      <c r="M10" s="1145">
        <f>+'1.mell._Össz_Mérleg2019'!E151</f>
        <v>687310</v>
      </c>
      <c r="N10" s="1562"/>
      <c r="O10" s="19">
        <f>+'1.mell._Össz_Mérleg2019'!G151</f>
        <v>687310</v>
      </c>
      <c r="P10" s="12">
        <f>+'1.mell._Össz_Mérleg2019'!H151</f>
        <v>0</v>
      </c>
      <c r="Q10" s="15">
        <f>+'1.mell._Össz_Mérleg2019'!I151</f>
        <v>0</v>
      </c>
    </row>
    <row r="11" spans="1:17" ht="12.75" customHeight="1">
      <c r="A11" s="85" t="s">
        <v>6</v>
      </c>
      <c r="B11" s="127" t="s">
        <v>400</v>
      </c>
      <c r="C11" s="1137">
        <f>+'1.mell._Össz_Mérleg2019'!C58</f>
        <v>10350</v>
      </c>
      <c r="D11" s="1146">
        <f>+'1.mell._Össz_Mérleg2019'!D58</f>
        <v>4878</v>
      </c>
      <c r="E11" s="1146">
        <f>+'1.mell._Össz_Mérleg2019'!E58</f>
        <v>4022</v>
      </c>
      <c r="F11" s="1562">
        <f>IF(ISERROR(E11/D11),"-",E11/D11)</f>
        <v>0.82451824518245187</v>
      </c>
      <c r="G11" s="20">
        <f>+'1.mell._Össz_Mérleg2019'!G58</f>
        <v>4022</v>
      </c>
      <c r="H11" s="11">
        <f>+'1.mell._Össz_Mérleg2019'!H58</f>
        <v>0</v>
      </c>
      <c r="I11" s="16">
        <f>+'1.mell._Össz_Mérleg2019'!I58</f>
        <v>0</v>
      </c>
      <c r="J11" s="128" t="s">
        <v>405</v>
      </c>
      <c r="K11" s="1137">
        <f>+'1.mell._Össz_Mérleg2019'!C159</f>
        <v>19676</v>
      </c>
      <c r="L11" s="1146">
        <f>+'1.mell._Össz_Mérleg2019'!D159</f>
        <v>419698</v>
      </c>
      <c r="M11" s="1146">
        <f>+'1.mell._Össz_Mérleg2019'!E159</f>
        <v>252513</v>
      </c>
      <c r="N11" s="1562">
        <f>IF(ISERROR(M11/L11),"-",M11/L11)</f>
        <v>0.60165404648104115</v>
      </c>
      <c r="O11" s="20">
        <f>+'1.mell._Össz_Mérleg2019'!G159</f>
        <v>252513</v>
      </c>
      <c r="P11" s="11">
        <f>+'1.mell._Össz_Mérleg2019'!H159</f>
        <v>0</v>
      </c>
      <c r="Q11" s="16">
        <f>+'1.mell._Össz_Mérleg2019'!I159</f>
        <v>0</v>
      </c>
    </row>
    <row r="12" spans="1:17" s="13" customFormat="1" ht="24">
      <c r="A12" s="86" t="s">
        <v>346</v>
      </c>
      <c r="B12" s="122"/>
      <c r="C12" s="1136"/>
      <c r="D12" s="1145"/>
      <c r="E12" s="1145"/>
      <c r="F12" s="1562"/>
      <c r="G12" s="19"/>
      <c r="H12" s="12"/>
      <c r="I12" s="15"/>
      <c r="J12" s="138" t="s">
        <v>345</v>
      </c>
      <c r="K12" s="1136">
        <f>+'1.mell._Össz_Mérleg2019'!C160</f>
        <v>0</v>
      </c>
      <c r="L12" s="1145">
        <f>+'1.mell._Össz_Mérleg2019'!D160</f>
        <v>187057</v>
      </c>
      <c r="M12" s="1145">
        <f>+'1.mell._Össz_Mérleg2019'!E160</f>
        <v>187057</v>
      </c>
      <c r="N12" s="1562"/>
      <c r="O12" s="19">
        <f>+'1.mell._Össz_Mérleg2019'!G160</f>
        <v>187057</v>
      </c>
      <c r="P12" s="12">
        <f>+'1.mell._Össz_Mérleg2019'!H160</f>
        <v>0</v>
      </c>
      <c r="Q12" s="15">
        <f>+'1.mell._Össz_Mérleg2019'!I160</f>
        <v>0</v>
      </c>
    </row>
    <row r="13" spans="1:17">
      <c r="A13" s="85" t="s">
        <v>3</v>
      </c>
      <c r="B13" s="127" t="s">
        <v>401</v>
      </c>
      <c r="C13" s="1137">
        <f>+'1.mell._Össz_Mérleg2019'!C64</f>
        <v>1500</v>
      </c>
      <c r="D13" s="1146">
        <f>+'1.mell._Össz_Mérleg2019'!D64</f>
        <v>6552</v>
      </c>
      <c r="E13" s="1146">
        <f>+'1.mell._Össz_Mérleg2019'!E64</f>
        <v>838</v>
      </c>
      <c r="F13" s="1562">
        <f>IF(ISERROR(E13/D13),"-",E13/D13)</f>
        <v>0.12789987789987789</v>
      </c>
      <c r="G13" s="20">
        <f>+'1.mell._Össz_Mérleg2019'!G64</f>
        <v>0</v>
      </c>
      <c r="H13" s="11">
        <f>+'1.mell._Össz_Mérleg2019'!H64</f>
        <v>838</v>
      </c>
      <c r="I13" s="16">
        <f>+'1.mell._Össz_Mérleg2019'!I64</f>
        <v>0</v>
      </c>
      <c r="J13" s="128" t="s">
        <v>406</v>
      </c>
      <c r="K13" s="1137">
        <f>+'1.mell._Össz_Mérleg2019'!C165</f>
        <v>0</v>
      </c>
      <c r="L13" s="1146">
        <f>+'1.mell._Össz_Mérleg2019'!D165</f>
        <v>18</v>
      </c>
      <c r="M13" s="1146">
        <f>+'1.mell._Össz_Mérleg2019'!E165</f>
        <v>18</v>
      </c>
      <c r="N13" s="1562">
        <f>IF(ISERROR(M13/L13),"-",M13/L13)</f>
        <v>1</v>
      </c>
      <c r="O13" s="20">
        <f>+'1.mell._Össz_Mérleg2019'!G165</f>
        <v>18</v>
      </c>
      <c r="P13" s="11">
        <f>+'1.mell._Össz_Mérleg2019'!H165</f>
        <v>0</v>
      </c>
      <c r="Q13" s="16">
        <f>+'1.mell._Össz_Mérleg2019'!I165</f>
        <v>0</v>
      </c>
    </row>
    <row r="14" spans="1:17" s="13" customFormat="1" ht="24">
      <c r="A14" s="86" t="s">
        <v>341</v>
      </c>
      <c r="B14" s="123"/>
      <c r="C14" s="1136"/>
      <c r="D14" s="1145"/>
      <c r="E14" s="1145"/>
      <c r="F14" s="1562"/>
      <c r="G14" s="19"/>
      <c r="H14" s="12"/>
      <c r="I14" s="15"/>
      <c r="J14" s="138" t="s">
        <v>340</v>
      </c>
      <c r="K14" s="1136">
        <f>+'1.mell._Össz_Mérleg2019'!C170</f>
        <v>0</v>
      </c>
      <c r="L14" s="1145">
        <f>+'1.mell._Össz_Mérleg2019'!D170</f>
        <v>0</v>
      </c>
      <c r="M14" s="1145">
        <f>+'1.mell._Össz_Mérleg2019'!E170</f>
        <v>0</v>
      </c>
      <c r="N14" s="1562"/>
      <c r="O14" s="19">
        <f>+'1.mell._Össz_Mérleg2019'!G170</f>
        <v>0</v>
      </c>
      <c r="P14" s="12">
        <f>+'1.mell._Össz_Mérleg2019'!H170</f>
        <v>0</v>
      </c>
      <c r="Q14" s="15">
        <f>+'1.mell._Össz_Mérleg2019'!I170</f>
        <v>0</v>
      </c>
    </row>
    <row r="15" spans="1:17" ht="12.75" customHeight="1">
      <c r="A15" s="85" t="s">
        <v>16</v>
      </c>
      <c r="B15" s="127"/>
      <c r="C15" s="1137"/>
      <c r="D15" s="1146"/>
      <c r="E15" s="1146"/>
      <c r="F15" s="1562"/>
      <c r="G15" s="20"/>
      <c r="H15" s="11"/>
      <c r="I15" s="16"/>
      <c r="J15" s="128"/>
      <c r="K15" s="1137"/>
      <c r="L15" s="1146"/>
      <c r="M15" s="1146"/>
      <c r="N15" s="1562"/>
      <c r="O15" s="20"/>
      <c r="P15" s="11"/>
      <c r="Q15" s="16"/>
    </row>
    <row r="16" spans="1:17" s="13" customFormat="1">
      <c r="A16" s="85" t="s">
        <v>15</v>
      </c>
      <c r="B16" s="127"/>
      <c r="C16" s="1137"/>
      <c r="D16" s="1146"/>
      <c r="E16" s="1146"/>
      <c r="F16" s="1562"/>
      <c r="G16" s="20"/>
      <c r="H16" s="11"/>
      <c r="I16" s="16"/>
      <c r="J16" s="128"/>
      <c r="K16" s="1137"/>
      <c r="L16" s="1146"/>
      <c r="M16" s="1146"/>
      <c r="N16" s="1562"/>
      <c r="O16" s="20"/>
      <c r="P16" s="11"/>
      <c r="Q16" s="16"/>
    </row>
    <row r="17" spans="1:17" s="13" customFormat="1" ht="12.75" thickBot="1">
      <c r="A17" s="90" t="s">
        <v>360</v>
      </c>
      <c r="B17" s="124"/>
      <c r="C17" s="1155"/>
      <c r="D17" s="1156"/>
      <c r="E17" s="1156"/>
      <c r="F17" s="1566"/>
      <c r="G17" s="46"/>
      <c r="H17" s="41"/>
      <c r="I17" s="42"/>
      <c r="J17" s="137"/>
      <c r="K17" s="1155"/>
      <c r="L17" s="1156"/>
      <c r="M17" s="1156"/>
      <c r="N17" s="1566"/>
      <c r="O17" s="46"/>
      <c r="P17" s="41"/>
      <c r="Q17" s="42"/>
    </row>
    <row r="18" spans="1:17" s="3" customFormat="1" ht="12.75" thickBot="1">
      <c r="A18" s="83" t="s">
        <v>14</v>
      </c>
      <c r="B18" s="70" t="s">
        <v>392</v>
      </c>
      <c r="C18" s="1134">
        <f t="shared" ref="C18:E18" si="2">+C19</f>
        <v>9999</v>
      </c>
      <c r="D18" s="1143">
        <f t="shared" si="2"/>
        <v>2492294</v>
      </c>
      <c r="E18" s="1143">
        <f t="shared" si="2"/>
        <v>2492294</v>
      </c>
      <c r="F18" s="1558">
        <f t="shared" ref="F18:F35" si="3">IF(ISERROR(E18/D18),"-",E18/D18)</f>
        <v>1</v>
      </c>
      <c r="G18" s="27">
        <f>+G19</f>
        <v>2492294</v>
      </c>
      <c r="H18" s="28">
        <f>+H19</f>
        <v>0</v>
      </c>
      <c r="I18" s="29">
        <f>+I19</f>
        <v>0</v>
      </c>
      <c r="J18" s="70" t="s">
        <v>398</v>
      </c>
      <c r="K18" s="1134">
        <f t="shared" ref="K18:M18" si="4">+K19</f>
        <v>0</v>
      </c>
      <c r="L18" s="1143">
        <f t="shared" si="4"/>
        <v>0</v>
      </c>
      <c r="M18" s="1143">
        <f t="shared" si="4"/>
        <v>0</v>
      </c>
      <c r="N18" s="1558" t="str">
        <f t="shared" ref="N18:N35" si="5">IF(ISERROR(M18/L18),"-",M18/L18)</f>
        <v>-</v>
      </c>
      <c r="O18" s="27">
        <f>+O19</f>
        <v>0</v>
      </c>
      <c r="P18" s="28">
        <f>+P19</f>
        <v>0</v>
      </c>
      <c r="Q18" s="29">
        <f>+Q19</f>
        <v>0</v>
      </c>
    </row>
    <row r="19" spans="1:17">
      <c r="A19" s="125" t="s">
        <v>13</v>
      </c>
      <c r="B19" s="120" t="s">
        <v>952</v>
      </c>
      <c r="C19" s="1165">
        <f t="shared" ref="C19:E19" si="6">+C20+C30+C31</f>
        <v>9999</v>
      </c>
      <c r="D19" s="1167">
        <f t="shared" si="6"/>
        <v>2492294</v>
      </c>
      <c r="E19" s="1167">
        <f t="shared" si="6"/>
        <v>2492294</v>
      </c>
      <c r="F19" s="1574">
        <f t="shared" si="3"/>
        <v>1</v>
      </c>
      <c r="G19" s="49">
        <f>+G20+G30+G31</f>
        <v>2492294</v>
      </c>
      <c r="H19" s="47">
        <f>+H20+H30+H31</f>
        <v>0</v>
      </c>
      <c r="I19" s="48">
        <f>+I20+I30+I31</f>
        <v>0</v>
      </c>
      <c r="J19" s="120" t="s">
        <v>953</v>
      </c>
      <c r="K19" s="1165">
        <f t="shared" ref="K19:M19" si="7">+K20+K30+K31</f>
        <v>0</v>
      </c>
      <c r="L19" s="1167">
        <f t="shared" si="7"/>
        <v>0</v>
      </c>
      <c r="M19" s="1167">
        <f t="shared" si="7"/>
        <v>0</v>
      </c>
      <c r="N19" s="1574" t="str">
        <f t="shared" si="5"/>
        <v>-</v>
      </c>
      <c r="O19" s="49">
        <f>+O20+O30+O31</f>
        <v>0</v>
      </c>
      <c r="P19" s="47">
        <f>+P20+P30+P31</f>
        <v>0</v>
      </c>
      <c r="Q19" s="48">
        <f>+Q20+Q30+Q31</f>
        <v>0</v>
      </c>
    </row>
    <row r="20" spans="1:17" s="13" customFormat="1">
      <c r="A20" s="84" t="s">
        <v>66</v>
      </c>
      <c r="B20" s="65" t="s">
        <v>948</v>
      </c>
      <c r="C20" s="1135">
        <f t="shared" ref="C20:E20" si="8">+C21+C22+C23+C24+C25+C26+C27+C28</f>
        <v>9999</v>
      </c>
      <c r="D20" s="1144">
        <f t="shared" si="8"/>
        <v>2492294</v>
      </c>
      <c r="E20" s="1144">
        <f t="shared" si="8"/>
        <v>2492294</v>
      </c>
      <c r="F20" s="1560">
        <f t="shared" si="3"/>
        <v>1</v>
      </c>
      <c r="G20" s="34">
        <f>+G21+G22+G23+G24+G25+G26+G27+G28</f>
        <v>2492294</v>
      </c>
      <c r="H20" s="10">
        <f>+H21+H22+H23+H24+H25+H26+H27+H28</f>
        <v>0</v>
      </c>
      <c r="I20" s="35">
        <f>+I21+I22+I23+I24+I25+I26+I27+I28</f>
        <v>0</v>
      </c>
      <c r="J20" s="65" t="s">
        <v>949</v>
      </c>
      <c r="K20" s="1135">
        <f t="shared" ref="K20:M20" si="9">+K21+K22+K23+K24+K25+K26+K27+K28</f>
        <v>0</v>
      </c>
      <c r="L20" s="1144">
        <f t="shared" si="9"/>
        <v>0</v>
      </c>
      <c r="M20" s="1144">
        <f t="shared" si="9"/>
        <v>0</v>
      </c>
      <c r="N20" s="1560" t="str">
        <f t="shared" si="5"/>
        <v>-</v>
      </c>
      <c r="O20" s="34">
        <f>+O21+O22+O23+O24+O25+O26+O27+O28</f>
        <v>0</v>
      </c>
      <c r="P20" s="10">
        <f>+P21+P22+P23+P24+P25+P26+P27+P28</f>
        <v>0</v>
      </c>
      <c r="Q20" s="35">
        <f>+Q21+Q22+Q23+Q24+Q25+Q26+Q27+Q28</f>
        <v>0</v>
      </c>
    </row>
    <row r="21" spans="1:17" s="13" customFormat="1">
      <c r="A21" s="86" t="s">
        <v>363</v>
      </c>
      <c r="B21" s="66" t="s">
        <v>246</v>
      </c>
      <c r="C21" s="1136">
        <f>+'1.mell._Össz_Mérleg2019'!C89</f>
        <v>9999</v>
      </c>
      <c r="D21" s="1145">
        <f>+'1.mell._Össz_Mérleg2019'!D89</f>
        <v>0</v>
      </c>
      <c r="E21" s="1145">
        <f>+'1.mell._Össz_Mérleg2019'!E89</f>
        <v>0</v>
      </c>
      <c r="F21" s="1562" t="str">
        <f t="shared" si="3"/>
        <v>-</v>
      </c>
      <c r="G21" s="19">
        <f>+'1.mell._Össz_Mérleg2019'!G89</f>
        <v>0</v>
      </c>
      <c r="H21" s="12">
        <f>+'1.mell._Össz_Mérleg2019'!H89</f>
        <v>0</v>
      </c>
      <c r="I21" s="15">
        <f>+'1.mell._Össz_Mérleg2019'!I89</f>
        <v>0</v>
      </c>
      <c r="J21" s="66" t="s">
        <v>170</v>
      </c>
      <c r="K21" s="1136">
        <f>+'1.mell._Össz_Mérleg2019'!C195</f>
        <v>0</v>
      </c>
      <c r="L21" s="1145">
        <f>+'1.mell._Össz_Mérleg2019'!D195</f>
        <v>0</v>
      </c>
      <c r="M21" s="1145">
        <f>+'1.mell._Össz_Mérleg2019'!E195</f>
        <v>0</v>
      </c>
      <c r="N21" s="1562" t="str">
        <f t="shared" si="5"/>
        <v>-</v>
      </c>
      <c r="O21" s="19">
        <f>+'1.mell._Össz_Mérleg2019'!G195</f>
        <v>0</v>
      </c>
      <c r="P21" s="12">
        <f>+'1.mell._Össz_Mérleg2019'!H195</f>
        <v>0</v>
      </c>
      <c r="Q21" s="15">
        <f>+'1.mell._Össz_Mérleg2019'!I195</f>
        <v>0</v>
      </c>
    </row>
    <row r="22" spans="1:17" s="13" customFormat="1">
      <c r="A22" s="86" t="s">
        <v>364</v>
      </c>
      <c r="B22" s="66" t="s">
        <v>247</v>
      </c>
      <c r="C22" s="1136">
        <f>+'1.mell._Össz_Mérleg2019'!C90</f>
        <v>0</v>
      </c>
      <c r="D22" s="1145">
        <f>+'1.mell._Össz_Mérleg2019'!D90</f>
        <v>0</v>
      </c>
      <c r="E22" s="1145">
        <f>+'1.mell._Össz_Mérleg2019'!E90</f>
        <v>0</v>
      </c>
      <c r="F22" s="1562" t="str">
        <f t="shared" si="3"/>
        <v>-</v>
      </c>
      <c r="G22" s="19">
        <f>+'1.mell._Össz_Mérleg2019'!G90</f>
        <v>0</v>
      </c>
      <c r="H22" s="12">
        <f>+'1.mell._Össz_Mérleg2019'!H90</f>
        <v>0</v>
      </c>
      <c r="I22" s="15">
        <f>+'1.mell._Össz_Mérleg2019'!I90</f>
        <v>0</v>
      </c>
      <c r="J22" s="66" t="s">
        <v>171</v>
      </c>
      <c r="K22" s="1136">
        <f>+'1.mell._Össz_Mérleg2019'!C196</f>
        <v>0</v>
      </c>
      <c r="L22" s="1145">
        <f>+'1.mell._Össz_Mérleg2019'!D196</f>
        <v>0</v>
      </c>
      <c r="M22" s="1145">
        <f>+'1.mell._Össz_Mérleg2019'!E196</f>
        <v>0</v>
      </c>
      <c r="N22" s="1562" t="str">
        <f t="shared" si="5"/>
        <v>-</v>
      </c>
      <c r="O22" s="19">
        <f>+'1.mell._Össz_Mérleg2019'!G196</f>
        <v>0</v>
      </c>
      <c r="P22" s="12">
        <f>+'1.mell._Össz_Mérleg2019'!H196</f>
        <v>0</v>
      </c>
      <c r="Q22" s="15">
        <f>+'1.mell._Össz_Mérleg2019'!I196</f>
        <v>0</v>
      </c>
    </row>
    <row r="23" spans="1:17" s="13" customFormat="1">
      <c r="A23" s="86" t="s">
        <v>365</v>
      </c>
      <c r="B23" s="66" t="s">
        <v>248</v>
      </c>
      <c r="C23" s="1136">
        <f>+'1.mell._Össz_Mérleg2019'!C91</f>
        <v>0</v>
      </c>
      <c r="D23" s="1145">
        <f>+'1.mell._Össz_Mérleg2019'!D91</f>
        <v>2492294</v>
      </c>
      <c r="E23" s="1145">
        <f>+'1.mell._Össz_Mérleg2019'!E91</f>
        <v>2492294</v>
      </c>
      <c r="F23" s="1562">
        <f t="shared" si="3"/>
        <v>1</v>
      </c>
      <c r="G23" s="19">
        <f>+'1.mell._Össz_Mérleg2019'!G91</f>
        <v>2492294</v>
      </c>
      <c r="H23" s="12">
        <f>+'1.mell._Össz_Mérleg2019'!H91</f>
        <v>0</v>
      </c>
      <c r="I23" s="15">
        <f>+'1.mell._Össz_Mérleg2019'!I91</f>
        <v>0</v>
      </c>
      <c r="J23" s="66" t="s">
        <v>172</v>
      </c>
      <c r="K23" s="1136">
        <f>+'1.mell._Össz_Mérleg2019'!C197</f>
        <v>0</v>
      </c>
      <c r="L23" s="1145">
        <f>+'1.mell._Össz_Mérleg2019'!D197</f>
        <v>0</v>
      </c>
      <c r="M23" s="1145">
        <f>+'1.mell._Össz_Mérleg2019'!E197</f>
        <v>0</v>
      </c>
      <c r="N23" s="1562" t="str">
        <f t="shared" si="5"/>
        <v>-</v>
      </c>
      <c r="O23" s="19">
        <f>+'1.mell._Össz_Mérleg2019'!G197</f>
        <v>0</v>
      </c>
      <c r="P23" s="12">
        <f>+'1.mell._Össz_Mérleg2019'!H197</f>
        <v>0</v>
      </c>
      <c r="Q23" s="15">
        <f>+'1.mell._Össz_Mérleg2019'!I197</f>
        <v>0</v>
      </c>
    </row>
    <row r="24" spans="1:17" s="13" customFormat="1">
      <c r="A24" s="86" t="s">
        <v>366</v>
      </c>
      <c r="B24" s="66" t="s">
        <v>249</v>
      </c>
      <c r="C24" s="1136">
        <f>+'1.mell._Össz_Mérleg2019'!C92</f>
        <v>0</v>
      </c>
      <c r="D24" s="1145">
        <f>+'1.mell._Össz_Mérleg2019'!D92</f>
        <v>0</v>
      </c>
      <c r="E24" s="1145">
        <f>+'1.mell._Össz_Mérleg2019'!E92</f>
        <v>0</v>
      </c>
      <c r="F24" s="1562" t="str">
        <f t="shared" si="3"/>
        <v>-</v>
      </c>
      <c r="G24" s="19">
        <f>+'1.mell._Össz_Mérleg2019'!G92</f>
        <v>0</v>
      </c>
      <c r="H24" s="12">
        <f>+'1.mell._Össz_Mérleg2019'!H92</f>
        <v>0</v>
      </c>
      <c r="I24" s="15">
        <f>+'1.mell._Össz_Mérleg2019'!I92</f>
        <v>0</v>
      </c>
      <c r="J24" s="66" t="s">
        <v>173</v>
      </c>
      <c r="K24" s="1136">
        <f>+'1.mell._Össz_Mérleg2019'!C198</f>
        <v>0</v>
      </c>
      <c r="L24" s="1145">
        <f>+'1.mell._Össz_Mérleg2019'!D198</f>
        <v>0</v>
      </c>
      <c r="M24" s="1145">
        <f>+'1.mell._Össz_Mérleg2019'!E198</f>
        <v>0</v>
      </c>
      <c r="N24" s="1562" t="str">
        <f t="shared" si="5"/>
        <v>-</v>
      </c>
      <c r="O24" s="19">
        <f>+'1.mell._Össz_Mérleg2019'!G198</f>
        <v>0</v>
      </c>
      <c r="P24" s="12">
        <f>+'1.mell._Össz_Mérleg2019'!H198</f>
        <v>0</v>
      </c>
      <c r="Q24" s="15">
        <f>+'1.mell._Össz_Mérleg2019'!I198</f>
        <v>0</v>
      </c>
    </row>
    <row r="25" spans="1:17" s="13" customFormat="1">
      <c r="A25" s="86" t="s">
        <v>367</v>
      </c>
      <c r="B25" s="66" t="s">
        <v>250</v>
      </c>
      <c r="C25" s="1136">
        <f>+'1.mell._Össz_Mérleg2019'!C93</f>
        <v>0</v>
      </c>
      <c r="D25" s="1145">
        <f>+'1.mell._Össz_Mérleg2019'!D93</f>
        <v>0</v>
      </c>
      <c r="E25" s="1145">
        <f>+'1.mell._Össz_Mérleg2019'!E93</f>
        <v>0</v>
      </c>
      <c r="F25" s="1562" t="str">
        <f t="shared" si="3"/>
        <v>-</v>
      </c>
      <c r="G25" s="19">
        <f>+'1.mell._Össz_Mérleg2019'!G93</f>
        <v>0</v>
      </c>
      <c r="H25" s="12">
        <f>+'1.mell._Össz_Mérleg2019'!H93</f>
        <v>0</v>
      </c>
      <c r="I25" s="15">
        <f>+'1.mell._Össz_Mérleg2019'!I93</f>
        <v>0</v>
      </c>
      <c r="J25" s="66" t="s">
        <v>174</v>
      </c>
      <c r="K25" s="1136">
        <f>+'1.mell._Össz_Mérleg2019'!C199</f>
        <v>0</v>
      </c>
      <c r="L25" s="1145">
        <f>+'1.mell._Össz_Mérleg2019'!D199</f>
        <v>0</v>
      </c>
      <c r="M25" s="1145">
        <f>+'1.mell._Össz_Mérleg2019'!E199</f>
        <v>0</v>
      </c>
      <c r="N25" s="1562" t="str">
        <f t="shared" si="5"/>
        <v>-</v>
      </c>
      <c r="O25" s="19">
        <f>+'1.mell._Össz_Mérleg2019'!G199</f>
        <v>0</v>
      </c>
      <c r="P25" s="12">
        <f>+'1.mell._Össz_Mérleg2019'!H199</f>
        <v>0</v>
      </c>
      <c r="Q25" s="15">
        <f>+'1.mell._Össz_Mérleg2019'!I199</f>
        <v>0</v>
      </c>
    </row>
    <row r="26" spans="1:17" s="13" customFormat="1">
      <c r="A26" s="86" t="s">
        <v>368</v>
      </c>
      <c r="B26" s="66" t="s">
        <v>251</v>
      </c>
      <c r="C26" s="1136">
        <f>+'1.mell._Össz_Mérleg2019'!C94</f>
        <v>0</v>
      </c>
      <c r="D26" s="1145">
        <f>+'1.mell._Össz_Mérleg2019'!D94</f>
        <v>0</v>
      </c>
      <c r="E26" s="1145">
        <f>+'1.mell._Össz_Mérleg2019'!E94</f>
        <v>0</v>
      </c>
      <c r="F26" s="1562" t="str">
        <f t="shared" si="3"/>
        <v>-</v>
      </c>
      <c r="G26" s="19">
        <f>+'1.mell._Össz_Mérleg2019'!G94</f>
        <v>0</v>
      </c>
      <c r="H26" s="12">
        <f>+'1.mell._Össz_Mérleg2019'!H94</f>
        <v>0</v>
      </c>
      <c r="I26" s="15">
        <f>+'1.mell._Össz_Mérleg2019'!I94</f>
        <v>0</v>
      </c>
      <c r="J26" s="66" t="s">
        <v>179</v>
      </c>
      <c r="K26" s="1136">
        <f>+'1.mell._Össz_Mérleg2019'!C200</f>
        <v>0</v>
      </c>
      <c r="L26" s="1145">
        <f>+'1.mell._Össz_Mérleg2019'!D200</f>
        <v>0</v>
      </c>
      <c r="M26" s="1145">
        <f>+'1.mell._Össz_Mérleg2019'!E200</f>
        <v>0</v>
      </c>
      <c r="N26" s="1562" t="str">
        <f t="shared" si="5"/>
        <v>-</v>
      </c>
      <c r="O26" s="19">
        <f>+'1.mell._Össz_Mérleg2019'!G200</f>
        <v>0</v>
      </c>
      <c r="P26" s="12">
        <f>+'1.mell._Össz_Mérleg2019'!H200</f>
        <v>0</v>
      </c>
      <c r="Q26" s="15">
        <f>+'1.mell._Össz_Mérleg2019'!I200</f>
        <v>0</v>
      </c>
    </row>
    <row r="27" spans="1:17" s="13" customFormat="1">
      <c r="A27" s="86" t="s">
        <v>369</v>
      </c>
      <c r="B27" s="66" t="s">
        <v>252</v>
      </c>
      <c r="C27" s="1136">
        <f>+'1.mell._Össz_Mérleg2019'!C95</f>
        <v>0</v>
      </c>
      <c r="D27" s="1145">
        <f>+'1.mell._Össz_Mérleg2019'!D95</f>
        <v>0</v>
      </c>
      <c r="E27" s="1145">
        <f>+'1.mell._Össz_Mérleg2019'!E95</f>
        <v>0</v>
      </c>
      <c r="F27" s="1562" t="str">
        <f t="shared" si="3"/>
        <v>-</v>
      </c>
      <c r="G27" s="19">
        <f>+'1.mell._Össz_Mérleg2019'!G95</f>
        <v>0</v>
      </c>
      <c r="H27" s="12">
        <f>+'1.mell._Össz_Mérleg2019'!H95</f>
        <v>0</v>
      </c>
      <c r="I27" s="15">
        <f>+'1.mell._Össz_Mérleg2019'!I95</f>
        <v>0</v>
      </c>
      <c r="J27" s="66" t="s">
        <v>175</v>
      </c>
      <c r="K27" s="1136">
        <f>+'1.mell._Össz_Mérleg2019'!C201</f>
        <v>0</v>
      </c>
      <c r="L27" s="1145">
        <f>+'1.mell._Össz_Mérleg2019'!D201</f>
        <v>0</v>
      </c>
      <c r="M27" s="1145">
        <f>+'1.mell._Össz_Mérleg2019'!E201</f>
        <v>0</v>
      </c>
      <c r="N27" s="1562" t="str">
        <f t="shared" si="5"/>
        <v>-</v>
      </c>
      <c r="O27" s="19">
        <f>+'1.mell._Össz_Mérleg2019'!G201</f>
        <v>0</v>
      </c>
      <c r="P27" s="12">
        <f>+'1.mell._Össz_Mérleg2019'!H201</f>
        <v>0</v>
      </c>
      <c r="Q27" s="15">
        <f>+'1.mell._Össz_Mérleg2019'!I201</f>
        <v>0</v>
      </c>
    </row>
    <row r="28" spans="1:17">
      <c r="A28" s="86" t="s">
        <v>370</v>
      </c>
      <c r="B28" s="66" t="s">
        <v>245</v>
      </c>
      <c r="C28" s="1136">
        <f>+'1.mell._Össz_Mérleg2019'!C96</f>
        <v>0</v>
      </c>
      <c r="D28" s="1145">
        <f>+'1.mell._Össz_Mérleg2019'!D96</f>
        <v>0</v>
      </c>
      <c r="E28" s="1145">
        <f>+'1.mell._Össz_Mérleg2019'!E96</f>
        <v>0</v>
      </c>
      <c r="F28" s="1562" t="str">
        <f t="shared" si="3"/>
        <v>-</v>
      </c>
      <c r="G28" s="19">
        <f>+'1.mell._Össz_Mérleg2019'!G96</f>
        <v>0</v>
      </c>
      <c r="H28" s="12">
        <f>+'1.mell._Össz_Mérleg2019'!H96</f>
        <v>0</v>
      </c>
      <c r="I28" s="15">
        <f>+'1.mell._Össz_Mérleg2019'!I96</f>
        <v>0</v>
      </c>
      <c r="J28" s="66" t="s">
        <v>176</v>
      </c>
      <c r="K28" s="1136">
        <f>+'1.mell._Össz_Mérleg2019'!C202</f>
        <v>0</v>
      </c>
      <c r="L28" s="1145">
        <f>+'1.mell._Össz_Mérleg2019'!D202</f>
        <v>0</v>
      </c>
      <c r="M28" s="1145">
        <f>+'1.mell._Össz_Mérleg2019'!E202</f>
        <v>0</v>
      </c>
      <c r="N28" s="1562" t="str">
        <f t="shared" si="5"/>
        <v>-</v>
      </c>
      <c r="O28" s="19">
        <f>+'1.mell._Össz_Mérleg2019'!G202</f>
        <v>0</v>
      </c>
      <c r="P28" s="12">
        <f>+'1.mell._Össz_Mérleg2019'!H202</f>
        <v>0</v>
      </c>
      <c r="Q28" s="15">
        <f>+'1.mell._Össz_Mérleg2019'!I202</f>
        <v>0</v>
      </c>
    </row>
    <row r="29" spans="1:17">
      <c r="A29" s="86" t="s">
        <v>947</v>
      </c>
      <c r="B29" s="66" t="s">
        <v>917</v>
      </c>
      <c r="C29" s="1136">
        <f>+'1.mell._Össz_Mérleg2019'!C97</f>
        <v>0</v>
      </c>
      <c r="D29" s="1145">
        <f>+'1.mell._Össz_Mérleg2019'!D97</f>
        <v>0</v>
      </c>
      <c r="E29" s="1145">
        <f>+'1.mell._Össz_Mérleg2019'!E97</f>
        <v>0</v>
      </c>
      <c r="F29" s="1562" t="str">
        <f t="shared" si="3"/>
        <v>-</v>
      </c>
      <c r="G29" s="19">
        <f>+'1.mell._Össz_Mérleg2019'!G97</f>
        <v>0</v>
      </c>
      <c r="H29" s="12">
        <f>+'1.mell._Össz_Mérleg2019'!H97</f>
        <v>0</v>
      </c>
      <c r="I29" s="15">
        <f>+'1.mell._Össz_Mérleg2019'!I97</f>
        <v>0</v>
      </c>
      <c r="J29" s="66" t="s">
        <v>941</v>
      </c>
      <c r="K29" s="1136">
        <f>+'1.mell._Össz_Mérleg2019'!C203</f>
        <v>0</v>
      </c>
      <c r="L29" s="1145">
        <f>+'1.mell._Össz_Mérleg2019'!D203</f>
        <v>0</v>
      </c>
      <c r="M29" s="1145">
        <f>+'1.mell._Össz_Mérleg2019'!E203</f>
        <v>0</v>
      </c>
      <c r="N29" s="1562" t="str">
        <f t="shared" si="5"/>
        <v>-</v>
      </c>
      <c r="O29" s="19">
        <f>+'1.mell._Össz_Mérleg2019'!G203</f>
        <v>0</v>
      </c>
      <c r="P29" s="12">
        <f>+'1.mell._Össz_Mérleg2019'!H203</f>
        <v>0</v>
      </c>
      <c r="Q29" s="15">
        <f>+'1.mell._Össz_Mérleg2019'!I203</f>
        <v>0</v>
      </c>
    </row>
    <row r="30" spans="1:17">
      <c r="A30" s="85" t="s">
        <v>67</v>
      </c>
      <c r="B30" s="67" t="s">
        <v>243</v>
      </c>
      <c r="C30" s="1137">
        <f>+'1.mell._Össz_Mérleg2019'!C98</f>
        <v>0</v>
      </c>
      <c r="D30" s="1146">
        <f>+'1.mell._Össz_Mérleg2019'!D98</f>
        <v>0</v>
      </c>
      <c r="E30" s="1146">
        <f>+'1.mell._Össz_Mérleg2019'!E98</f>
        <v>0</v>
      </c>
      <c r="F30" s="1562" t="str">
        <f t="shared" si="3"/>
        <v>-</v>
      </c>
      <c r="G30" s="20">
        <f>+'1.mell._Össz_Mérleg2019'!G98</f>
        <v>0</v>
      </c>
      <c r="H30" s="11">
        <f>+'1.mell._Össz_Mérleg2019'!H98</f>
        <v>0</v>
      </c>
      <c r="I30" s="16">
        <f>+'1.mell._Össz_Mérleg2019'!I98</f>
        <v>0</v>
      </c>
      <c r="J30" s="67" t="s">
        <v>177</v>
      </c>
      <c r="K30" s="1137">
        <f>+'1.mell._Össz_Mérleg2019'!C204</f>
        <v>0</v>
      </c>
      <c r="L30" s="1146">
        <f>+'1.mell._Össz_Mérleg2019'!D204</f>
        <v>0</v>
      </c>
      <c r="M30" s="1146">
        <f>+'1.mell._Össz_Mérleg2019'!E204</f>
        <v>0</v>
      </c>
      <c r="N30" s="1562" t="str">
        <f t="shared" si="5"/>
        <v>-</v>
      </c>
      <c r="O30" s="20">
        <f>+'1.mell._Össz_Mérleg2019'!G204</f>
        <v>0</v>
      </c>
      <c r="P30" s="11">
        <f>+'1.mell._Össz_Mérleg2019'!H204</f>
        <v>0</v>
      </c>
      <c r="Q30" s="16">
        <f>+'1.mell._Össz_Mérleg2019'!I204</f>
        <v>0</v>
      </c>
    </row>
    <row r="31" spans="1:17" s="3" customFormat="1">
      <c r="A31" s="78" t="s">
        <v>68</v>
      </c>
      <c r="B31" s="68" t="s">
        <v>244</v>
      </c>
      <c r="C31" s="1138">
        <f>+'1.mell._Össz_Mérleg2019'!C99</f>
        <v>0</v>
      </c>
      <c r="D31" s="1147">
        <f>+'1.mell._Össz_Mérleg2019'!D99</f>
        <v>0</v>
      </c>
      <c r="E31" s="1147">
        <f>+'1.mell._Össz_Mérleg2019'!E99</f>
        <v>0</v>
      </c>
      <c r="F31" s="1561" t="str">
        <f t="shared" si="3"/>
        <v>-</v>
      </c>
      <c r="G31" s="21">
        <f>+'1.mell._Össz_Mérleg2019'!G99</f>
        <v>0</v>
      </c>
      <c r="H31" s="22">
        <f>+'1.mell._Össz_Mérleg2019'!H99</f>
        <v>0</v>
      </c>
      <c r="I31" s="23">
        <f>+'1.mell._Össz_Mérleg2019'!I99</f>
        <v>0</v>
      </c>
      <c r="J31" s="68" t="s">
        <v>178</v>
      </c>
      <c r="K31" s="1138">
        <f>+'1.mell._Össz_Mérleg2019'!C205</f>
        <v>0</v>
      </c>
      <c r="L31" s="1147">
        <f>+'1.mell._Össz_Mérleg2019'!D205</f>
        <v>0</v>
      </c>
      <c r="M31" s="1147">
        <f>+'1.mell._Össz_Mérleg2019'!E205</f>
        <v>0</v>
      </c>
      <c r="N31" s="1561" t="str">
        <f t="shared" si="5"/>
        <v>-</v>
      </c>
      <c r="O31" s="21">
        <f>+'1.mell._Össz_Mérleg2019'!G205</f>
        <v>0</v>
      </c>
      <c r="P31" s="22">
        <f>+'1.mell._Össz_Mérleg2019'!H205</f>
        <v>0</v>
      </c>
      <c r="Q31" s="23">
        <f>+'1.mell._Össz_Mérleg2019'!I205</f>
        <v>0</v>
      </c>
    </row>
    <row r="32" spans="1:17" s="3" customFormat="1" ht="12.75" thickBot="1">
      <c r="A32" s="78" t="s">
        <v>230</v>
      </c>
      <c r="B32" s="68" t="s">
        <v>919</v>
      </c>
      <c r="C32" s="1138">
        <f>+'1.mell._Össz_Mérleg2019'!C100</f>
        <v>0</v>
      </c>
      <c r="D32" s="1147">
        <f>+'1.mell._Össz_Mérleg2019'!D100</f>
        <v>0</v>
      </c>
      <c r="E32" s="1147">
        <f>+'1.mell._Össz_Mérleg2019'!E100</f>
        <v>0</v>
      </c>
      <c r="F32" s="1561" t="str">
        <f t="shared" si="3"/>
        <v>-</v>
      </c>
      <c r="G32" s="21">
        <f>+'1.mell._Össz_Mérleg2019'!G100</f>
        <v>0</v>
      </c>
      <c r="H32" s="22">
        <f>+'1.mell._Össz_Mérleg2019'!H100</f>
        <v>0</v>
      </c>
      <c r="I32" s="23">
        <f>+'1.mell._Össz_Mérleg2019'!I100</f>
        <v>0</v>
      </c>
      <c r="J32" s="68" t="s">
        <v>942</v>
      </c>
      <c r="K32" s="1138">
        <f>+'1.mell._Össz_Mérleg2019'!C206</f>
        <v>0</v>
      </c>
      <c r="L32" s="1147">
        <f>+'1.mell._Össz_Mérleg2019'!D206</f>
        <v>0</v>
      </c>
      <c r="M32" s="1147">
        <f>+'1.mell._Össz_Mérleg2019'!E206</f>
        <v>0</v>
      </c>
      <c r="N32" s="1561" t="str">
        <f t="shared" si="5"/>
        <v>-</v>
      </c>
      <c r="O32" s="21">
        <f>+'1.mell._Össz_Mérleg2019'!G206</f>
        <v>0</v>
      </c>
      <c r="P32" s="22">
        <f>+'1.mell._Össz_Mérleg2019'!H206</f>
        <v>0</v>
      </c>
      <c r="Q32" s="23">
        <f>+'1.mell._Össz_Mérleg2019'!I206</f>
        <v>0</v>
      </c>
    </row>
    <row r="33" spans="1:17" s="3" customFormat="1" ht="12.75" thickBot="1">
      <c r="A33" s="81" t="s">
        <v>12</v>
      </c>
      <c r="B33" s="135" t="s">
        <v>393</v>
      </c>
      <c r="C33" s="1133">
        <f t="shared" ref="C33:E33" si="10">+C8+C18</f>
        <v>399248</v>
      </c>
      <c r="D33" s="1142">
        <f t="shared" si="10"/>
        <v>3719432</v>
      </c>
      <c r="E33" s="1142">
        <f t="shared" si="10"/>
        <v>3712862</v>
      </c>
      <c r="F33" s="1568">
        <f t="shared" si="3"/>
        <v>0.99823360125954719</v>
      </c>
      <c r="G33" s="134">
        <f>+G8+G18</f>
        <v>3712024</v>
      </c>
      <c r="H33" s="133">
        <f>+H8+H18</f>
        <v>838</v>
      </c>
      <c r="I33" s="132">
        <f>+I8+I18</f>
        <v>0</v>
      </c>
      <c r="J33" s="121" t="s">
        <v>397</v>
      </c>
      <c r="K33" s="1134">
        <f t="shared" ref="K33:M33" si="11">+K8+K18</f>
        <v>485974</v>
      </c>
      <c r="L33" s="1143">
        <f t="shared" si="11"/>
        <v>1351199</v>
      </c>
      <c r="M33" s="1143">
        <f t="shared" si="11"/>
        <v>1068830</v>
      </c>
      <c r="N33" s="1568">
        <f t="shared" si="5"/>
        <v>0.79102337997585848</v>
      </c>
      <c r="O33" s="27">
        <f>+O8+O18</f>
        <v>1063788</v>
      </c>
      <c r="P33" s="28">
        <f>+P8+P18</f>
        <v>5042</v>
      </c>
      <c r="Q33" s="29">
        <f>+Q8+Q18</f>
        <v>0</v>
      </c>
    </row>
    <row r="34" spans="1:17" s="3" customFormat="1" ht="12.75" thickBot="1">
      <c r="A34" s="83" t="s">
        <v>11</v>
      </c>
      <c r="B34" s="69" t="s">
        <v>407</v>
      </c>
      <c r="C34" s="1166">
        <f t="shared" ref="C34:E34" si="12">IF(((K8-C8)&gt;0),K8-C8,"----")</f>
        <v>96725</v>
      </c>
      <c r="D34" s="1168">
        <f t="shared" si="12"/>
        <v>124061</v>
      </c>
      <c r="E34" s="1168" t="str">
        <f t="shared" si="12"/>
        <v>----</v>
      </c>
      <c r="F34" s="1558" t="str">
        <f t="shared" si="3"/>
        <v>-</v>
      </c>
      <c r="G34" s="141" t="str">
        <f>IF(((O8-G8)&gt;0),O8-G8,"----")</f>
        <v>----</v>
      </c>
      <c r="H34" s="140">
        <f>IF(((P8-H8)&gt;0),P8-H8,"----")</f>
        <v>4204</v>
      </c>
      <c r="I34" s="139" t="str">
        <f>IF(((Q8-I8)&gt;0),Q8-I8,"----")</f>
        <v>----</v>
      </c>
      <c r="J34" s="69" t="s">
        <v>396</v>
      </c>
      <c r="K34" s="1166" t="str">
        <f t="shared" ref="K34:M34" si="13">IF(((C8-K8)&gt;0),C8-K8,"----")</f>
        <v>----</v>
      </c>
      <c r="L34" s="1168" t="str">
        <f t="shared" si="13"/>
        <v>----</v>
      </c>
      <c r="M34" s="1168">
        <f t="shared" si="13"/>
        <v>151738</v>
      </c>
      <c r="N34" s="1558" t="str">
        <f t="shared" si="5"/>
        <v>-</v>
      </c>
      <c r="O34" s="141">
        <f>IF(((G8-O8)&gt;0),G8-O8,"----")</f>
        <v>155942</v>
      </c>
      <c r="P34" s="140" t="str">
        <f>IF(((H8-P8)&gt;0),H8-P8,"----")</f>
        <v>----</v>
      </c>
      <c r="Q34" s="139" t="str">
        <f>IF(((I8-Q8)&gt;0),I8-Q8,"----")</f>
        <v>----</v>
      </c>
    </row>
    <row r="35" spans="1:17" s="3" customFormat="1" ht="12.75" thickBot="1">
      <c r="A35" s="83" t="s">
        <v>10</v>
      </c>
      <c r="B35" s="69" t="s">
        <v>394</v>
      </c>
      <c r="C35" s="1166" t="str">
        <f t="shared" ref="C35:E35" si="14">IF(((K18-C18)&gt;0),K18-C18,"----")</f>
        <v>----</v>
      </c>
      <c r="D35" s="1168" t="str">
        <f t="shared" si="14"/>
        <v>----</v>
      </c>
      <c r="E35" s="1168" t="str">
        <f t="shared" si="14"/>
        <v>----</v>
      </c>
      <c r="F35" s="1558" t="str">
        <f t="shared" si="3"/>
        <v>-</v>
      </c>
      <c r="G35" s="141" t="str">
        <f>IF(((O18-G18)&gt;0),O18-G18,"----")</f>
        <v>----</v>
      </c>
      <c r="H35" s="140" t="str">
        <f>IF(((P18-H18)&gt;0),P18-H18,"----")</f>
        <v>----</v>
      </c>
      <c r="I35" s="139" t="str">
        <f>IF(((Q18-I18)&gt;0),Q18-I18,"----")</f>
        <v>----</v>
      </c>
      <c r="J35" s="69" t="s">
        <v>395</v>
      </c>
      <c r="K35" s="1166">
        <f t="shared" ref="K35:M35" si="15">IF(((C18-K18)&gt;0),C18-K18,"----")</f>
        <v>9999</v>
      </c>
      <c r="L35" s="1168">
        <f t="shared" si="15"/>
        <v>2492294</v>
      </c>
      <c r="M35" s="1168">
        <f t="shared" si="15"/>
        <v>2492294</v>
      </c>
      <c r="N35" s="1558">
        <f t="shared" si="5"/>
        <v>1</v>
      </c>
      <c r="O35" s="141">
        <f>IF(((G18-O18)&gt;0),G18-O18,"----")</f>
        <v>2492294</v>
      </c>
      <c r="P35" s="140" t="str">
        <f>IF(((H18-P18)&gt;0),H18-P18,"----")</f>
        <v>----</v>
      </c>
      <c r="Q35" s="139" t="str">
        <f>IF(((I18-Q18)&gt;0),I18-Q18,"----")</f>
        <v>----</v>
      </c>
    </row>
    <row r="37" spans="1:17" hidden="1">
      <c r="C37" s="4">
        <f>+C33+'2.a.mell._MMérleg2019'!C33</f>
        <v>4623219</v>
      </c>
      <c r="D37" s="4">
        <f>+D33+'2.a.mell._MMérleg2019'!D33</f>
        <v>6648242</v>
      </c>
      <c r="E37" s="4">
        <f>+E33+'2.a.mell._MMérleg2019'!E33</f>
        <v>6455161</v>
      </c>
      <c r="F37" s="4">
        <f>+F33+'[5]2.a.mell._MMérleg2018'!F33</f>
        <v>1.931322026101792</v>
      </c>
      <c r="G37" s="4">
        <f>+G33+'2.a.mell._MMérleg2019'!G33</f>
        <v>6421464</v>
      </c>
      <c r="H37" s="4">
        <f>+H33+'2.a.mell._MMérleg2019'!H33</f>
        <v>27175</v>
      </c>
      <c r="I37" s="4">
        <f>+I33+'2.a.mell._MMérleg2019'!I33</f>
        <v>6522</v>
      </c>
      <c r="K37" s="4">
        <f>+K33+'2.a.mell._MMérleg2019'!K33</f>
        <v>4623219</v>
      </c>
      <c r="L37" s="4">
        <f>+L33+'2.a.mell._MMérleg2019'!L33</f>
        <v>6648242</v>
      </c>
      <c r="M37" s="4">
        <f>+M33+'2.a.mell._MMérleg2019'!M33</f>
        <v>3124433</v>
      </c>
      <c r="N37" s="4">
        <f>+N33+'[5]2.a.mell._MMérleg2018'!N33</f>
        <v>1.1630923115771654</v>
      </c>
      <c r="O37" s="4">
        <f>+O33+'2.a.mell._MMérleg2019'!O33</f>
        <v>3065601</v>
      </c>
      <c r="P37" s="4">
        <f>+P33+'2.a.mell._MMérleg2019'!P33</f>
        <v>51620</v>
      </c>
      <c r="Q37" s="4">
        <f>+Q33+'2.a.mell._MMérleg2019'!Q33</f>
        <v>7212</v>
      </c>
    </row>
    <row r="38" spans="1:17" hidden="1">
      <c r="C38" s="4">
        <f>+'1.mell._Össz_Mérleg2019'!C102</f>
        <v>4623219</v>
      </c>
      <c r="D38" s="4">
        <f>+'1.mell._Össz_Mérleg2019'!D102</f>
        <v>6648242</v>
      </c>
      <c r="E38" s="4">
        <f>+'1.mell._Össz_Mérleg2019'!E102</f>
        <v>6455161</v>
      </c>
      <c r="F38" s="4">
        <f>+'[5]1.mell._Össz_Mérleg2018'!F102</f>
        <v>0.96794256447987859</v>
      </c>
      <c r="G38" s="4">
        <f>+'1.mell._Össz_Mérleg2019'!G102</f>
        <v>6421464</v>
      </c>
      <c r="H38" s="4">
        <f>+'1.mell._Össz_Mérleg2019'!H102</f>
        <v>27175</v>
      </c>
      <c r="I38" s="4">
        <f>+'1.mell._Össz_Mérleg2019'!I102</f>
        <v>6522</v>
      </c>
      <c r="K38" s="4">
        <f>+'1.mell._Össz_Mérleg2019'!C208</f>
        <v>4623219</v>
      </c>
      <c r="L38" s="4">
        <f>+'1.mell._Össz_Mérleg2019'!D208</f>
        <v>6648242</v>
      </c>
      <c r="M38" s="4">
        <f>+'1.mell._Össz_Mérleg2019'!E208</f>
        <v>3124433</v>
      </c>
      <c r="N38" s="4">
        <f>+'[5]1.mell._Össz_Mérleg2018'!P102</f>
        <v>0</v>
      </c>
      <c r="O38" s="4">
        <f>+'1.mell._Össz_Mérleg2019'!G208</f>
        <v>3065601</v>
      </c>
      <c r="P38" s="4">
        <f>+'1.mell._Össz_Mérleg2019'!H208</f>
        <v>51620</v>
      </c>
      <c r="Q38" s="4">
        <f>+'1.mell._Össz_Mérleg2019'!I208</f>
        <v>7212</v>
      </c>
    </row>
    <row r="39" spans="1:17" hidden="1">
      <c r="C39" s="4">
        <f t="shared" ref="C39:I39" si="16">+C37-C38</f>
        <v>0</v>
      </c>
      <c r="D39" s="4">
        <f t="shared" si="16"/>
        <v>0</v>
      </c>
      <c r="E39" s="4">
        <f t="shared" si="16"/>
        <v>0</v>
      </c>
      <c r="F39" s="4">
        <f t="shared" si="16"/>
        <v>0.96337946162191346</v>
      </c>
      <c r="G39" s="4">
        <f t="shared" si="16"/>
        <v>0</v>
      </c>
      <c r="H39" s="4">
        <f t="shared" si="16"/>
        <v>0</v>
      </c>
      <c r="I39" s="4">
        <f t="shared" si="16"/>
        <v>0</v>
      </c>
      <c r="K39" s="4">
        <f t="shared" ref="K39:Q39" si="17">+K37-K38</f>
        <v>0</v>
      </c>
      <c r="L39" s="4">
        <f t="shared" si="17"/>
        <v>0</v>
      </c>
      <c r="M39" s="4">
        <f t="shared" si="17"/>
        <v>0</v>
      </c>
      <c r="N39" s="4">
        <f t="shared" si="17"/>
        <v>1.1630923115771654</v>
      </c>
      <c r="O39" s="4">
        <f t="shared" si="17"/>
        <v>0</v>
      </c>
      <c r="P39" s="4">
        <f t="shared" si="17"/>
        <v>0</v>
      </c>
      <c r="Q39" s="4">
        <f t="shared" si="17"/>
        <v>0</v>
      </c>
    </row>
  </sheetData>
  <mergeCells count="4">
    <mergeCell ref="A3:Q3"/>
    <mergeCell ref="A4:Q4"/>
    <mergeCell ref="C7:I7"/>
    <mergeCell ref="K7:Q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5">
    <tabColor rgb="FF00B0F0"/>
    <pageSetUpPr fitToPage="1"/>
  </sheetPr>
  <dimension ref="A1:O86"/>
  <sheetViews>
    <sheetView zoomScaleNormal="100" workbookViewId="0"/>
  </sheetViews>
  <sheetFormatPr defaultRowHeight="12"/>
  <cols>
    <col min="1" max="1" width="78.5703125" style="380" bestFit="1" customWidth="1"/>
    <col min="2" max="3" width="11.7109375" style="380" customWidth="1"/>
    <col min="4" max="4" width="11.140625" style="380" bestFit="1" customWidth="1"/>
    <col min="5" max="6" width="13.140625" style="380" customWidth="1"/>
    <col min="7" max="7" width="9.140625" style="380"/>
    <col min="8" max="8" width="11.7109375" style="380" customWidth="1"/>
    <col min="9" max="9" width="11.7109375" style="148" customWidth="1"/>
    <col min="10" max="10" width="9.140625" style="380" customWidth="1"/>
    <col min="11" max="11" width="9.140625" style="148" hidden="1" customWidth="1"/>
    <col min="12" max="12" width="9.140625" style="1586" hidden="1" customWidth="1"/>
    <col min="13" max="13" width="9.140625" style="148" hidden="1" customWidth="1"/>
    <col min="14" max="14" width="9.140625" style="1586" hidden="1" customWidth="1"/>
    <col min="15" max="15" width="9.140625" style="148" hidden="1" customWidth="1"/>
    <col min="16" max="16384" width="9.140625" style="380"/>
  </cols>
  <sheetData>
    <row r="1" spans="1:15" s="541" customFormat="1" ht="15.75">
      <c r="A1" s="540"/>
      <c r="B1" s="540"/>
      <c r="C1" s="540"/>
      <c r="D1" s="540"/>
      <c r="E1" s="540"/>
      <c r="F1" s="540"/>
      <c r="H1" s="540"/>
      <c r="I1" s="1604" t="s">
        <v>425</v>
      </c>
      <c r="K1" s="149"/>
      <c r="L1" s="1601"/>
      <c r="M1" s="149"/>
      <c r="N1" s="1601"/>
      <c r="O1" s="149"/>
    </row>
    <row r="2" spans="1:15" s="541" customFormat="1" ht="15.75">
      <c r="I2" s="149"/>
      <c r="K2" s="149"/>
      <c r="L2" s="1601"/>
      <c r="M2" s="149"/>
      <c r="N2" s="1601"/>
      <c r="O2" s="149"/>
    </row>
    <row r="3" spans="1:15" s="792" customFormat="1" ht="15.75">
      <c r="A3" s="1801" t="s">
        <v>331</v>
      </c>
      <c r="B3" s="1801"/>
      <c r="C3" s="1801"/>
      <c r="D3" s="1801"/>
      <c r="E3" s="1801"/>
      <c r="F3" s="1801"/>
      <c r="G3" s="1801"/>
      <c r="H3" s="1801"/>
      <c r="I3" s="1801"/>
      <c r="K3" s="150"/>
      <c r="L3" s="1602"/>
      <c r="M3" s="150"/>
      <c r="N3" s="1602"/>
      <c r="O3" s="150"/>
    </row>
    <row r="4" spans="1:15" s="792" customFormat="1" ht="15.75">
      <c r="A4" s="1801" t="s">
        <v>1311</v>
      </c>
      <c r="B4" s="1801"/>
      <c r="C4" s="1801"/>
      <c r="D4" s="1801"/>
      <c r="E4" s="1801"/>
      <c r="F4" s="1801"/>
      <c r="G4" s="1801"/>
      <c r="H4" s="1801"/>
      <c r="I4" s="1801"/>
      <c r="K4" s="150"/>
      <c r="L4" s="1602"/>
      <c r="M4" s="150"/>
      <c r="N4" s="1602"/>
      <c r="O4" s="150"/>
    </row>
    <row r="5" spans="1:15" ht="12.75" thickBot="1">
      <c r="A5" s="820"/>
      <c r="B5" s="820"/>
      <c r="C5" s="820"/>
      <c r="D5" s="820"/>
      <c r="E5" s="820"/>
      <c r="F5" s="820"/>
      <c r="G5" s="820"/>
      <c r="H5" s="820"/>
      <c r="I5" s="143"/>
    </row>
    <row r="6" spans="1:15" s="718" customFormat="1" ht="12.75" customHeight="1" thickBot="1">
      <c r="A6" s="1803" t="s">
        <v>7</v>
      </c>
      <c r="B6" s="1816" t="s">
        <v>1555</v>
      </c>
      <c r="C6" s="1814" t="s">
        <v>2648</v>
      </c>
      <c r="D6" s="1807" t="s">
        <v>1312</v>
      </c>
      <c r="E6" s="1808"/>
      <c r="F6" s="1808"/>
      <c r="G6" s="1809"/>
      <c r="H6" s="1812" t="s">
        <v>2649</v>
      </c>
      <c r="I6" s="1810" t="s">
        <v>2645</v>
      </c>
      <c r="K6" s="151"/>
      <c r="L6" s="1603"/>
      <c r="M6" s="151"/>
      <c r="N6" s="1603"/>
      <c r="O6" s="151"/>
    </row>
    <row r="7" spans="1:15" s="718" customFormat="1" ht="48.75" thickBot="1">
      <c r="A7" s="1804"/>
      <c r="B7" s="1817"/>
      <c r="C7" s="1815"/>
      <c r="D7" s="1575" t="s">
        <v>408</v>
      </c>
      <c r="E7" s="152" t="s">
        <v>409</v>
      </c>
      <c r="F7" s="1576" t="s">
        <v>410</v>
      </c>
      <c r="G7" s="1577" t="s">
        <v>18</v>
      </c>
      <c r="H7" s="1813"/>
      <c r="I7" s="1811"/>
      <c r="K7" s="151"/>
      <c r="L7" s="1603"/>
      <c r="M7" s="151"/>
      <c r="N7" s="1603"/>
      <c r="O7" s="151"/>
    </row>
    <row r="8" spans="1:15">
      <c r="A8" s="957"/>
      <c r="B8" s="958"/>
      <c r="C8" s="1170"/>
      <c r="D8" s="958"/>
      <c r="E8" s="144"/>
      <c r="F8" s="144"/>
      <c r="G8" s="959"/>
      <c r="H8" s="1170"/>
      <c r="I8" s="1605"/>
    </row>
    <row r="9" spans="1:15" s="148" customFormat="1">
      <c r="A9" s="1579" t="s">
        <v>411</v>
      </c>
      <c r="B9" s="1580">
        <f>+B10+B11+B12+B13+B14+B15+B16</f>
        <v>1</v>
      </c>
      <c r="C9" s="1581">
        <f t="shared" ref="C9:H9" si="0">+C10+C11+C12+C13+C14+C15+C16</f>
        <v>74</v>
      </c>
      <c r="D9" s="1582">
        <f t="shared" si="0"/>
        <v>1</v>
      </c>
      <c r="E9" s="1583">
        <f t="shared" si="0"/>
        <v>0</v>
      </c>
      <c r="F9" s="1583">
        <f t="shared" si="0"/>
        <v>73</v>
      </c>
      <c r="G9" s="1584">
        <f t="shared" si="0"/>
        <v>74</v>
      </c>
      <c r="H9" s="1583">
        <f t="shared" si="0"/>
        <v>47</v>
      </c>
      <c r="I9" s="1585">
        <f t="shared" ref="I9:I71" si="1">IF(ISERROR(H9/C9),"-",H9/C9)</f>
        <v>0.63513513513513509</v>
      </c>
      <c r="K9" s="1578">
        <f>+G9-C9</f>
        <v>0</v>
      </c>
      <c r="L9" s="1586"/>
      <c r="N9" s="1586"/>
    </row>
    <row r="10" spans="1:15" s="148" customFormat="1">
      <c r="A10" s="1587" t="s">
        <v>1248</v>
      </c>
      <c r="B10" s="1588">
        <v>1</v>
      </c>
      <c r="C10" s="1589">
        <v>1</v>
      </c>
      <c r="D10" s="1590">
        <f>+C10</f>
        <v>1</v>
      </c>
      <c r="E10" s="1591"/>
      <c r="F10" s="1591"/>
      <c r="G10" s="1584">
        <f t="shared" ref="G10:G16" si="2">+F10+E10+D10</f>
        <v>1</v>
      </c>
      <c r="H10" s="1591">
        <v>1</v>
      </c>
      <c r="I10" s="1592">
        <f t="shared" si="1"/>
        <v>1</v>
      </c>
      <c r="K10" s="1578">
        <f>+G10-C10</f>
        <v>0</v>
      </c>
      <c r="L10" s="1586"/>
      <c r="N10" s="1586"/>
    </row>
    <row r="11" spans="1:15" s="148" customFormat="1">
      <c r="A11" s="1587" t="s">
        <v>2650</v>
      </c>
      <c r="B11" s="1590"/>
      <c r="C11" s="1591">
        <f>2+4+4+10+3</f>
        <v>23</v>
      </c>
      <c r="D11" s="1590"/>
      <c r="E11" s="1591"/>
      <c r="F11" s="1591">
        <f>+C11</f>
        <v>23</v>
      </c>
      <c r="G11" s="1584">
        <f t="shared" si="2"/>
        <v>23</v>
      </c>
      <c r="H11" s="1591">
        <v>18</v>
      </c>
      <c r="I11" s="1592">
        <f t="shared" si="1"/>
        <v>0.78260869565217395</v>
      </c>
      <c r="K11" s="1578">
        <f t="shared" ref="K11" si="3">+G11-C11</f>
        <v>0</v>
      </c>
      <c r="L11" s="1586"/>
      <c r="N11" s="1586"/>
    </row>
    <row r="12" spans="1:15" s="148" customFormat="1">
      <c r="A12" s="1587" t="s">
        <v>2651</v>
      </c>
      <c r="B12" s="1588"/>
      <c r="C12" s="1589">
        <v>26</v>
      </c>
      <c r="D12" s="1590"/>
      <c r="E12" s="1591"/>
      <c r="F12" s="1591">
        <f>+C12</f>
        <v>26</v>
      </c>
      <c r="G12" s="1584">
        <f t="shared" si="2"/>
        <v>26</v>
      </c>
      <c r="H12" s="1591">
        <v>4</v>
      </c>
      <c r="I12" s="1592">
        <f t="shared" si="1"/>
        <v>0.15384615384615385</v>
      </c>
      <c r="K12" s="1578">
        <f>+G12-C12</f>
        <v>0</v>
      </c>
      <c r="L12" s="1586"/>
      <c r="N12" s="1586"/>
    </row>
    <row r="13" spans="1:15" s="1597" customFormat="1">
      <c r="A13" s="1593" t="s">
        <v>2652</v>
      </c>
      <c r="B13" s="1594"/>
      <c r="C13" s="1595">
        <v>4</v>
      </c>
      <c r="D13" s="1594"/>
      <c r="E13" s="1595"/>
      <c r="F13" s="1595">
        <f t="shared" ref="F13:F16" si="4">+C13</f>
        <v>4</v>
      </c>
      <c r="G13" s="1596">
        <f t="shared" si="2"/>
        <v>4</v>
      </c>
      <c r="H13" s="1595">
        <v>4</v>
      </c>
      <c r="I13" s="1592">
        <f t="shared" si="1"/>
        <v>1</v>
      </c>
      <c r="K13" s="1598">
        <f t="shared" ref="K13:K16" si="5">+G13-C13</f>
        <v>0</v>
      </c>
      <c r="L13" s="1599"/>
      <c r="N13" s="1599"/>
    </row>
    <row r="14" spans="1:15" s="1597" customFormat="1">
      <c r="A14" s="1593" t="s">
        <v>2653</v>
      </c>
      <c r="B14" s="1594"/>
      <c r="C14" s="1595">
        <v>5</v>
      </c>
      <c r="D14" s="1594"/>
      <c r="E14" s="1595"/>
      <c r="F14" s="1595">
        <f t="shared" si="4"/>
        <v>5</v>
      </c>
      <c r="G14" s="1596">
        <f t="shared" si="2"/>
        <v>5</v>
      </c>
      <c r="H14" s="1595">
        <v>5</v>
      </c>
      <c r="I14" s="1592">
        <f t="shared" si="1"/>
        <v>1</v>
      </c>
      <c r="K14" s="1598">
        <f t="shared" si="5"/>
        <v>0</v>
      </c>
      <c r="L14" s="1599"/>
      <c r="N14" s="1599"/>
    </row>
    <row r="15" spans="1:15" s="1597" customFormat="1">
      <c r="A15" s="1593" t="s">
        <v>2654</v>
      </c>
      <c r="B15" s="1594"/>
      <c r="C15" s="1595">
        <v>9</v>
      </c>
      <c r="D15" s="1594"/>
      <c r="E15" s="1595"/>
      <c r="F15" s="1595">
        <f t="shared" si="4"/>
        <v>9</v>
      </c>
      <c r="G15" s="1596">
        <f t="shared" si="2"/>
        <v>9</v>
      </c>
      <c r="H15" s="1595">
        <v>9</v>
      </c>
      <c r="I15" s="1592">
        <f t="shared" si="1"/>
        <v>1</v>
      </c>
      <c r="K15" s="1598">
        <f t="shared" si="5"/>
        <v>0</v>
      </c>
      <c r="L15" s="1599"/>
      <c r="N15" s="1599"/>
    </row>
    <row r="16" spans="1:15" s="1597" customFormat="1">
      <c r="A16" s="1593" t="s">
        <v>2655</v>
      </c>
      <c r="B16" s="1594"/>
      <c r="C16" s="1595">
        <v>6</v>
      </c>
      <c r="D16" s="1594"/>
      <c r="E16" s="1595"/>
      <c r="F16" s="1595">
        <f t="shared" si="4"/>
        <v>6</v>
      </c>
      <c r="G16" s="1596">
        <f t="shared" si="2"/>
        <v>6</v>
      </c>
      <c r="H16" s="1595">
        <v>6</v>
      </c>
      <c r="I16" s="1592">
        <f t="shared" si="1"/>
        <v>1</v>
      </c>
      <c r="K16" s="1598">
        <f t="shared" si="5"/>
        <v>0</v>
      </c>
      <c r="L16" s="1599"/>
      <c r="N16" s="1599"/>
    </row>
    <row r="17" spans="1:15" s="148" customFormat="1">
      <c r="A17" s="1579" t="s">
        <v>412</v>
      </c>
      <c r="B17" s="1580">
        <f t="shared" ref="B17:G17" si="6">+B18</f>
        <v>0</v>
      </c>
      <c r="C17" s="1581">
        <f t="shared" si="6"/>
        <v>0</v>
      </c>
      <c r="D17" s="1582">
        <f t="shared" si="6"/>
        <v>0</v>
      </c>
      <c r="E17" s="1583">
        <f t="shared" si="6"/>
        <v>0</v>
      </c>
      <c r="F17" s="1583">
        <f t="shared" si="6"/>
        <v>0</v>
      </c>
      <c r="G17" s="1584">
        <f t="shared" si="6"/>
        <v>0</v>
      </c>
      <c r="H17" s="1583">
        <f>+H18</f>
        <v>0</v>
      </c>
      <c r="I17" s="1600" t="str">
        <f t="shared" si="1"/>
        <v>-</v>
      </c>
      <c r="K17" s="1578">
        <f>+G17-C17</f>
        <v>0</v>
      </c>
      <c r="L17" s="1586"/>
      <c r="N17" s="1586"/>
    </row>
    <row r="18" spans="1:15">
      <c r="A18" s="966" t="s">
        <v>19</v>
      </c>
      <c r="B18" s="731"/>
      <c r="C18" s="965"/>
      <c r="D18" s="731"/>
      <c r="E18" s="965"/>
      <c r="F18" s="965"/>
      <c r="G18" s="963">
        <f>+F18+E18+D18</f>
        <v>0</v>
      </c>
      <c r="H18" s="965"/>
      <c r="I18" s="1592" t="str">
        <f t="shared" si="1"/>
        <v>-</v>
      </c>
      <c r="K18" s="1578">
        <f>+G18-C18</f>
        <v>0</v>
      </c>
    </row>
    <row r="19" spans="1:15">
      <c r="A19" s="960" t="s">
        <v>413</v>
      </c>
      <c r="B19" s="961">
        <f t="shared" ref="B19:G19" si="7">+B20</f>
        <v>0</v>
      </c>
      <c r="C19" s="962">
        <f t="shared" si="7"/>
        <v>0</v>
      </c>
      <c r="D19" s="961">
        <f t="shared" si="7"/>
        <v>0</v>
      </c>
      <c r="E19" s="962">
        <f t="shared" si="7"/>
        <v>0</v>
      </c>
      <c r="F19" s="962">
        <f t="shared" si="7"/>
        <v>0</v>
      </c>
      <c r="G19" s="963">
        <f t="shared" si="7"/>
        <v>0</v>
      </c>
      <c r="H19" s="962">
        <f>+H20</f>
        <v>0</v>
      </c>
      <c r="I19" s="1600" t="str">
        <f t="shared" si="1"/>
        <v>-</v>
      </c>
      <c r="K19" s="1578">
        <f>+G19-C19</f>
        <v>0</v>
      </c>
    </row>
    <row r="20" spans="1:15" ht="12.75" thickBot="1">
      <c r="A20" s="967" t="s">
        <v>19</v>
      </c>
      <c r="B20" s="968"/>
      <c r="C20" s="969"/>
      <c r="D20" s="968"/>
      <c r="E20" s="969"/>
      <c r="F20" s="969"/>
      <c r="G20" s="963">
        <f>+F20+E20+D20</f>
        <v>0</v>
      </c>
      <c r="H20" s="969"/>
      <c r="I20" s="1606" t="str">
        <f t="shared" si="1"/>
        <v>-</v>
      </c>
      <c r="K20" s="1578">
        <f>+G20-C20</f>
        <v>0</v>
      </c>
    </row>
    <row r="21" spans="1:15" ht="12.75" thickBot="1">
      <c r="A21" s="146" t="s">
        <v>414</v>
      </c>
      <c r="B21" s="970">
        <f t="shared" ref="B21:H21" si="8">+B9+B17+B19</f>
        <v>1</v>
      </c>
      <c r="C21" s="979">
        <f t="shared" si="8"/>
        <v>74</v>
      </c>
      <c r="D21" s="970">
        <f t="shared" si="8"/>
        <v>1</v>
      </c>
      <c r="E21" s="971">
        <f t="shared" si="8"/>
        <v>0</v>
      </c>
      <c r="F21" s="972">
        <f t="shared" si="8"/>
        <v>73</v>
      </c>
      <c r="G21" s="973">
        <f t="shared" si="8"/>
        <v>74</v>
      </c>
      <c r="H21" s="979">
        <f t="shared" si="8"/>
        <v>47</v>
      </c>
      <c r="I21" s="1607">
        <f t="shared" si="1"/>
        <v>0.63513513513513509</v>
      </c>
      <c r="K21" s="1578">
        <f>+G21-C21</f>
        <v>0</v>
      </c>
      <c r="L21" s="1586">
        <f>+'1.1.mell._ÖNK_Mérleg2019'!D239</f>
        <v>74</v>
      </c>
      <c r="M21" s="1578">
        <f>+C21-L21</f>
        <v>0</v>
      </c>
      <c r="N21" s="1586">
        <f>+'1.1.mell._ÖNK_Mérleg2019'!E239</f>
        <v>47</v>
      </c>
      <c r="O21" s="1578">
        <f>+N21-H21</f>
        <v>0</v>
      </c>
    </row>
    <row r="22" spans="1:15">
      <c r="A22" s="645"/>
      <c r="B22" s="646"/>
      <c r="C22" s="145"/>
      <c r="D22" s="646"/>
      <c r="E22" s="145"/>
      <c r="F22" s="145"/>
      <c r="G22" s="647"/>
      <c r="H22" s="145"/>
      <c r="I22" s="1608"/>
      <c r="K22" s="1578"/>
    </row>
    <row r="23" spans="1:15" s="148" customFormat="1">
      <c r="A23" s="1579" t="s">
        <v>873</v>
      </c>
      <c r="B23" s="1580">
        <f>+B24+B25+B26+B27</f>
        <v>84</v>
      </c>
      <c r="C23" s="1581">
        <f t="shared" ref="C23:H23" si="9">+C24+C25+C26+C27</f>
        <v>87</v>
      </c>
      <c r="D23" s="1582">
        <f t="shared" si="9"/>
        <v>43</v>
      </c>
      <c r="E23" s="1583">
        <f t="shared" si="9"/>
        <v>0</v>
      </c>
      <c r="F23" s="1583">
        <f t="shared" si="9"/>
        <v>44</v>
      </c>
      <c r="G23" s="1584">
        <f t="shared" si="9"/>
        <v>87</v>
      </c>
      <c r="H23" s="1583">
        <f t="shared" si="9"/>
        <v>87</v>
      </c>
      <c r="I23" s="1600">
        <f t="shared" si="1"/>
        <v>1</v>
      </c>
      <c r="K23" s="1578">
        <f>+G23-C23</f>
        <v>0</v>
      </c>
      <c r="L23" s="1586"/>
      <c r="N23" s="1586"/>
    </row>
    <row r="24" spans="1:15" s="148" customFormat="1">
      <c r="A24" s="1587" t="s">
        <v>674</v>
      </c>
      <c r="B24" s="1588">
        <v>43</v>
      </c>
      <c r="C24" s="1589">
        <v>43</v>
      </c>
      <c r="D24" s="731">
        <f>+C24</f>
        <v>43</v>
      </c>
      <c r="E24" s="1591"/>
      <c r="F24" s="1591"/>
      <c r="G24" s="1584">
        <f>+F24+E24+D24</f>
        <v>43</v>
      </c>
      <c r="H24" s="1591">
        <v>39</v>
      </c>
      <c r="I24" s="1592">
        <f t="shared" si="1"/>
        <v>0.90697674418604646</v>
      </c>
      <c r="K24" s="1578">
        <f>+G24-C24</f>
        <v>0</v>
      </c>
      <c r="L24" s="1586"/>
      <c r="N24" s="1586"/>
    </row>
    <row r="25" spans="1:15" s="148" customFormat="1">
      <c r="A25" s="1587" t="s">
        <v>416</v>
      </c>
      <c r="B25" s="1588">
        <v>20</v>
      </c>
      <c r="C25" s="1589">
        <v>20</v>
      </c>
      <c r="D25" s="1590"/>
      <c r="E25" s="1591"/>
      <c r="F25" s="1591">
        <f>+C25</f>
        <v>20</v>
      </c>
      <c r="G25" s="1584">
        <f>+F25+E25+D25</f>
        <v>20</v>
      </c>
      <c r="H25" s="1591">
        <v>24</v>
      </c>
      <c r="I25" s="1592">
        <f t="shared" si="1"/>
        <v>1.2</v>
      </c>
      <c r="K25" s="1578">
        <f>+G25-C25</f>
        <v>0</v>
      </c>
      <c r="L25" s="1586"/>
      <c r="N25" s="1586"/>
    </row>
    <row r="26" spans="1:15" s="148" customFormat="1">
      <c r="A26" s="1587" t="s">
        <v>1049</v>
      </c>
      <c r="B26" s="1588">
        <v>21</v>
      </c>
      <c r="C26" s="1589">
        <v>21</v>
      </c>
      <c r="D26" s="1590"/>
      <c r="E26" s="1591"/>
      <c r="F26" s="1591">
        <f>+C26</f>
        <v>21</v>
      </c>
      <c r="G26" s="1584">
        <f>+F26+E26+D26</f>
        <v>21</v>
      </c>
      <c r="H26" s="1591">
        <v>21</v>
      </c>
      <c r="I26" s="1592">
        <f t="shared" si="1"/>
        <v>1</v>
      </c>
      <c r="K26" s="1578">
        <f>+G26-C26</f>
        <v>0</v>
      </c>
      <c r="L26" s="1586"/>
      <c r="N26" s="1586"/>
    </row>
    <row r="27" spans="1:15" s="1597" customFormat="1">
      <c r="A27" s="1593" t="s">
        <v>2656</v>
      </c>
      <c r="B27" s="1594"/>
      <c r="C27" s="1595">
        <v>3</v>
      </c>
      <c r="D27" s="1594"/>
      <c r="E27" s="1595"/>
      <c r="F27" s="1595">
        <f t="shared" ref="F27" si="10">+C27</f>
        <v>3</v>
      </c>
      <c r="G27" s="1596">
        <f>+F27+E27+D27</f>
        <v>3</v>
      </c>
      <c r="H27" s="1595">
        <v>3</v>
      </c>
      <c r="I27" s="1592">
        <f t="shared" si="1"/>
        <v>1</v>
      </c>
      <c r="K27" s="1598">
        <f t="shared" ref="K27:K33" si="11">+G27-C27</f>
        <v>0</v>
      </c>
      <c r="L27" s="1599"/>
      <c r="N27" s="1599"/>
    </row>
    <row r="28" spans="1:15" s="148" customFormat="1">
      <c r="A28" s="1579" t="s">
        <v>874</v>
      </c>
      <c r="B28" s="1580">
        <f t="shared" ref="B28:G28" si="12">+B29+B30</f>
        <v>6</v>
      </c>
      <c r="C28" s="1581">
        <f t="shared" si="12"/>
        <v>6</v>
      </c>
      <c r="D28" s="1582">
        <f t="shared" si="12"/>
        <v>2</v>
      </c>
      <c r="E28" s="1583">
        <f t="shared" si="12"/>
        <v>0</v>
      </c>
      <c r="F28" s="1583">
        <f t="shared" si="12"/>
        <v>4</v>
      </c>
      <c r="G28" s="1584">
        <f t="shared" si="12"/>
        <v>6</v>
      </c>
      <c r="H28" s="1583">
        <f>+H29+H30</f>
        <v>0</v>
      </c>
      <c r="I28" s="1600">
        <f t="shared" si="1"/>
        <v>0</v>
      </c>
      <c r="K28" s="1578">
        <f t="shared" si="11"/>
        <v>0</v>
      </c>
      <c r="L28" s="1586"/>
      <c r="N28" s="1586"/>
    </row>
    <row r="29" spans="1:15">
      <c r="A29" s="964" t="s">
        <v>417</v>
      </c>
      <c r="B29" s="731">
        <v>4</v>
      </c>
      <c r="C29" s="965">
        <v>4</v>
      </c>
      <c r="D29" s="731"/>
      <c r="E29" s="965"/>
      <c r="F29" s="965">
        <f>+C29</f>
        <v>4</v>
      </c>
      <c r="G29" s="963">
        <f>+F29+E29+D29</f>
        <v>4</v>
      </c>
      <c r="H29" s="965"/>
      <c r="I29" s="1592">
        <f t="shared" si="1"/>
        <v>0</v>
      </c>
      <c r="K29" s="1578">
        <f t="shared" si="11"/>
        <v>0</v>
      </c>
    </row>
    <row r="30" spans="1:15">
      <c r="A30" s="964" t="s">
        <v>656</v>
      </c>
      <c r="B30" s="731">
        <v>2</v>
      </c>
      <c r="C30" s="965">
        <v>2</v>
      </c>
      <c r="D30" s="731">
        <f>+C30</f>
        <v>2</v>
      </c>
      <c r="E30" s="965"/>
      <c r="F30" s="965"/>
      <c r="G30" s="963">
        <f>+F30+E30+D30</f>
        <v>2</v>
      </c>
      <c r="H30" s="965"/>
      <c r="I30" s="1592">
        <f t="shared" si="1"/>
        <v>0</v>
      </c>
      <c r="K30" s="1578">
        <f t="shared" si="11"/>
        <v>0</v>
      </c>
    </row>
    <row r="31" spans="1:15">
      <c r="A31" s="960" t="s">
        <v>875</v>
      </c>
      <c r="B31" s="961">
        <f t="shared" ref="B31:G31" si="13">+B32</f>
        <v>0</v>
      </c>
      <c r="C31" s="962">
        <f t="shared" si="13"/>
        <v>0</v>
      </c>
      <c r="D31" s="961">
        <f t="shared" si="13"/>
        <v>0</v>
      </c>
      <c r="E31" s="962">
        <f t="shared" si="13"/>
        <v>0</v>
      </c>
      <c r="F31" s="962">
        <f t="shared" si="13"/>
        <v>0</v>
      </c>
      <c r="G31" s="963">
        <f t="shared" si="13"/>
        <v>0</v>
      </c>
      <c r="H31" s="962">
        <f>+H32</f>
        <v>0</v>
      </c>
      <c r="I31" s="1600" t="str">
        <f t="shared" si="1"/>
        <v>-</v>
      </c>
      <c r="K31" s="1578">
        <f t="shared" si="11"/>
        <v>0</v>
      </c>
    </row>
    <row r="32" spans="1:15" ht="12.75" thickBot="1">
      <c r="A32" s="967" t="s">
        <v>19</v>
      </c>
      <c r="B32" s="968"/>
      <c r="C32" s="969"/>
      <c r="D32" s="968"/>
      <c r="E32" s="969"/>
      <c r="F32" s="969"/>
      <c r="G32" s="963">
        <f>+F32+E32+D32</f>
        <v>0</v>
      </c>
      <c r="H32" s="969"/>
      <c r="I32" s="1592" t="str">
        <f t="shared" si="1"/>
        <v>-</v>
      </c>
      <c r="K32" s="1578">
        <f t="shared" si="11"/>
        <v>0</v>
      </c>
    </row>
    <row r="33" spans="1:15" ht="12.75" thickBot="1">
      <c r="A33" s="146" t="s">
        <v>876</v>
      </c>
      <c r="B33" s="970">
        <f t="shared" ref="B33:G33" si="14">+B23+B28+B31</f>
        <v>90</v>
      </c>
      <c r="C33" s="979">
        <f t="shared" si="14"/>
        <v>93</v>
      </c>
      <c r="D33" s="970">
        <f t="shared" si="14"/>
        <v>45</v>
      </c>
      <c r="E33" s="971">
        <f t="shared" si="14"/>
        <v>0</v>
      </c>
      <c r="F33" s="972">
        <f t="shared" si="14"/>
        <v>48</v>
      </c>
      <c r="G33" s="973">
        <f t="shared" si="14"/>
        <v>93</v>
      </c>
      <c r="H33" s="979">
        <f>+H23+H28+H31</f>
        <v>87</v>
      </c>
      <c r="I33" s="1607">
        <f t="shared" si="1"/>
        <v>0.93548387096774188</v>
      </c>
      <c r="K33" s="1578">
        <f t="shared" si="11"/>
        <v>0</v>
      </c>
      <c r="L33" s="1586">
        <f>+'1.2.mell._HKÖH_Mérleg2019'!D239</f>
        <v>93</v>
      </c>
      <c r="M33" s="1578">
        <f>+C33-L33</f>
        <v>0</v>
      </c>
      <c r="N33" s="1586">
        <f>+'1.2.mell._HKÖH_Mérleg2019'!E239</f>
        <v>87</v>
      </c>
      <c r="O33" s="1578">
        <f>+N33-H33</f>
        <v>0</v>
      </c>
    </row>
    <row r="34" spans="1:15">
      <c r="A34" s="645"/>
      <c r="B34" s="646"/>
      <c r="C34" s="145"/>
      <c r="D34" s="646"/>
      <c r="E34" s="145"/>
      <c r="F34" s="145"/>
      <c r="G34" s="647"/>
      <c r="H34" s="145"/>
      <c r="I34" s="1608"/>
      <c r="K34" s="1578"/>
    </row>
    <row r="35" spans="1:15">
      <c r="A35" s="650" t="s">
        <v>418</v>
      </c>
      <c r="B35" s="961">
        <f t="shared" ref="B35:G35" si="15">+B36+B37</f>
        <v>69</v>
      </c>
      <c r="C35" s="962">
        <f t="shared" si="15"/>
        <v>69</v>
      </c>
      <c r="D35" s="961">
        <f t="shared" si="15"/>
        <v>0</v>
      </c>
      <c r="E35" s="962">
        <f t="shared" si="15"/>
        <v>69</v>
      </c>
      <c r="F35" s="962">
        <f t="shared" si="15"/>
        <v>0</v>
      </c>
      <c r="G35" s="963">
        <f t="shared" si="15"/>
        <v>69</v>
      </c>
      <c r="H35" s="962">
        <f>+H36+H37</f>
        <v>68</v>
      </c>
      <c r="I35" s="1600">
        <f t="shared" si="1"/>
        <v>0.98550724637681164</v>
      </c>
      <c r="K35" s="1578">
        <f t="shared" ref="K35:K42" si="16">+G35-C35</f>
        <v>0</v>
      </c>
    </row>
    <row r="36" spans="1:15">
      <c r="A36" s="966" t="s">
        <v>1089</v>
      </c>
      <c r="B36" s="731">
        <v>59</v>
      </c>
      <c r="C36" s="965">
        <v>59</v>
      </c>
      <c r="D36" s="731"/>
      <c r="E36" s="965">
        <f>+C36</f>
        <v>59</v>
      </c>
      <c r="F36" s="965"/>
      <c r="G36" s="963">
        <f>+F36+E36+D36</f>
        <v>59</v>
      </c>
      <c r="H36" s="965">
        <v>58</v>
      </c>
      <c r="I36" s="1592">
        <f t="shared" si="1"/>
        <v>0.98305084745762716</v>
      </c>
      <c r="K36" s="1578">
        <f t="shared" si="16"/>
        <v>0</v>
      </c>
    </row>
    <row r="37" spans="1:15">
      <c r="A37" s="966" t="s">
        <v>581</v>
      </c>
      <c r="B37" s="731">
        <v>10</v>
      </c>
      <c r="C37" s="965">
        <v>10</v>
      </c>
      <c r="D37" s="731"/>
      <c r="E37" s="965">
        <f>+C37</f>
        <v>10</v>
      </c>
      <c r="F37" s="965"/>
      <c r="G37" s="963">
        <f>+F37+E37+D37</f>
        <v>10</v>
      </c>
      <c r="H37" s="965">
        <v>10</v>
      </c>
      <c r="I37" s="1592">
        <f t="shared" si="1"/>
        <v>1</v>
      </c>
      <c r="K37" s="1578">
        <f t="shared" si="16"/>
        <v>0</v>
      </c>
    </row>
    <row r="38" spans="1:15">
      <c r="A38" s="650" t="s">
        <v>419</v>
      </c>
      <c r="B38" s="961">
        <f t="shared" ref="B38:G38" si="17">+B39</f>
        <v>0</v>
      </c>
      <c r="C38" s="962">
        <f t="shared" si="17"/>
        <v>0</v>
      </c>
      <c r="D38" s="961">
        <f t="shared" si="17"/>
        <v>0</v>
      </c>
      <c r="E38" s="962">
        <f t="shared" si="17"/>
        <v>0</v>
      </c>
      <c r="F38" s="962">
        <f t="shared" si="17"/>
        <v>0</v>
      </c>
      <c r="G38" s="963">
        <f t="shared" si="17"/>
        <v>0</v>
      </c>
      <c r="H38" s="962">
        <f>+H39</f>
        <v>0</v>
      </c>
      <c r="I38" s="1600" t="str">
        <f t="shared" si="1"/>
        <v>-</v>
      </c>
      <c r="K38" s="1578">
        <f t="shared" si="16"/>
        <v>0</v>
      </c>
    </row>
    <row r="39" spans="1:15">
      <c r="A39" s="966" t="s">
        <v>19</v>
      </c>
      <c r="B39" s="731"/>
      <c r="C39" s="965"/>
      <c r="D39" s="731"/>
      <c r="E39" s="965"/>
      <c r="F39" s="965"/>
      <c r="G39" s="963">
        <f>+F39+E39+D39</f>
        <v>0</v>
      </c>
      <c r="H39" s="965"/>
      <c r="I39" s="1592" t="str">
        <f t="shared" si="1"/>
        <v>-</v>
      </c>
      <c r="K39" s="1578">
        <f t="shared" si="16"/>
        <v>0</v>
      </c>
    </row>
    <row r="40" spans="1:15">
      <c r="A40" s="960" t="s">
        <v>773</v>
      </c>
      <c r="B40" s="961">
        <f t="shared" ref="B40:G40" si="18">+B41</f>
        <v>0</v>
      </c>
      <c r="C40" s="962">
        <f t="shared" si="18"/>
        <v>0</v>
      </c>
      <c r="D40" s="961">
        <f t="shared" si="18"/>
        <v>0</v>
      </c>
      <c r="E40" s="962">
        <f t="shared" si="18"/>
        <v>0</v>
      </c>
      <c r="F40" s="962">
        <f t="shared" si="18"/>
        <v>0</v>
      </c>
      <c r="G40" s="963">
        <f t="shared" si="18"/>
        <v>0</v>
      </c>
      <c r="H40" s="962">
        <f>+H41</f>
        <v>0</v>
      </c>
      <c r="I40" s="1600" t="str">
        <f t="shared" si="1"/>
        <v>-</v>
      </c>
      <c r="K40" s="1578">
        <f t="shared" si="16"/>
        <v>0</v>
      </c>
    </row>
    <row r="41" spans="1:15" ht="12.75" thickBot="1">
      <c r="A41" s="966" t="s">
        <v>19</v>
      </c>
      <c r="B41" s="968"/>
      <c r="C41" s="969"/>
      <c r="D41" s="968"/>
      <c r="E41" s="969"/>
      <c r="F41" s="969"/>
      <c r="G41" s="963">
        <f>+F41+E41+D41</f>
        <v>0</v>
      </c>
      <c r="H41" s="969"/>
      <c r="I41" s="1592" t="str">
        <f t="shared" si="1"/>
        <v>-</v>
      </c>
      <c r="K41" s="1578">
        <f t="shared" si="16"/>
        <v>0</v>
      </c>
    </row>
    <row r="42" spans="1:15" ht="12.75" thickBot="1">
      <c r="A42" s="146" t="s">
        <v>420</v>
      </c>
      <c r="B42" s="970">
        <f t="shared" ref="B42:G42" si="19">+B35+B38+B40</f>
        <v>69</v>
      </c>
      <c r="C42" s="979">
        <f t="shared" si="19"/>
        <v>69</v>
      </c>
      <c r="D42" s="970">
        <f t="shared" si="19"/>
        <v>0</v>
      </c>
      <c r="E42" s="971">
        <f t="shared" si="19"/>
        <v>69</v>
      </c>
      <c r="F42" s="972">
        <f t="shared" si="19"/>
        <v>0</v>
      </c>
      <c r="G42" s="973">
        <f t="shared" si="19"/>
        <v>69</v>
      </c>
      <c r="H42" s="979">
        <f>+H35+H38+H40</f>
        <v>68</v>
      </c>
      <c r="I42" s="1607">
        <f t="shared" si="1"/>
        <v>0.98550724637681164</v>
      </c>
      <c r="K42" s="1578">
        <f t="shared" si="16"/>
        <v>0</v>
      </c>
      <c r="L42" s="1586">
        <f>+'1.3.mell._HVÓBKI_Mérleg2019'!D239</f>
        <v>69</v>
      </c>
      <c r="M42" s="1578">
        <f>+C42-L42</f>
        <v>0</v>
      </c>
      <c r="N42" s="1586">
        <f>+'1.3.mell._HVÓBKI_Mérleg2019'!E239</f>
        <v>68</v>
      </c>
      <c r="O42" s="1578">
        <f>+N42-H42</f>
        <v>0</v>
      </c>
    </row>
    <row r="43" spans="1:15">
      <c r="A43" s="645"/>
      <c r="B43" s="646"/>
      <c r="C43" s="145"/>
      <c r="D43" s="646"/>
      <c r="E43" s="145"/>
      <c r="F43" s="145"/>
      <c r="G43" s="647"/>
      <c r="H43" s="145"/>
      <c r="I43" s="1608"/>
      <c r="K43" s="1578"/>
    </row>
    <row r="44" spans="1:15">
      <c r="A44" s="650" t="s">
        <v>421</v>
      </c>
      <c r="B44" s="961">
        <f t="shared" ref="B44:G44" si="20">+B45+B46+B47</f>
        <v>9</v>
      </c>
      <c r="C44" s="962">
        <f t="shared" si="20"/>
        <v>9</v>
      </c>
      <c r="D44" s="961">
        <f t="shared" si="20"/>
        <v>0</v>
      </c>
      <c r="E44" s="962">
        <f t="shared" si="20"/>
        <v>9</v>
      </c>
      <c r="F44" s="962">
        <f t="shared" si="20"/>
        <v>0</v>
      </c>
      <c r="G44" s="963">
        <f t="shared" si="20"/>
        <v>9</v>
      </c>
      <c r="H44" s="962">
        <f>+H45+H46+H47</f>
        <v>8</v>
      </c>
      <c r="I44" s="1600">
        <f t="shared" si="1"/>
        <v>0.88888888888888884</v>
      </c>
      <c r="K44" s="1578">
        <f t="shared" ref="K44:K52" si="21">+G44-C44</f>
        <v>0</v>
      </c>
    </row>
    <row r="45" spans="1:15">
      <c r="A45" s="966" t="s">
        <v>1100</v>
      </c>
      <c r="B45" s="731">
        <v>4</v>
      </c>
      <c r="C45" s="965">
        <v>4</v>
      </c>
      <c r="D45" s="731"/>
      <c r="E45" s="965">
        <f>+C45</f>
        <v>4</v>
      </c>
      <c r="F45" s="965"/>
      <c r="G45" s="963">
        <f>+F45+E45+D45</f>
        <v>4</v>
      </c>
      <c r="H45" s="965">
        <v>4</v>
      </c>
      <c r="I45" s="1592">
        <f t="shared" si="1"/>
        <v>1</v>
      </c>
      <c r="K45" s="1578">
        <f t="shared" si="21"/>
        <v>0</v>
      </c>
    </row>
    <row r="46" spans="1:15">
      <c r="A46" s="966" t="s">
        <v>1106</v>
      </c>
      <c r="B46" s="731">
        <v>1</v>
      </c>
      <c r="C46" s="965">
        <v>1</v>
      </c>
      <c r="D46" s="731"/>
      <c r="E46" s="965">
        <f>+C46</f>
        <v>1</v>
      </c>
      <c r="F46" s="965"/>
      <c r="G46" s="963">
        <f>+F46+E46+D46</f>
        <v>1</v>
      </c>
      <c r="H46" s="965">
        <v>1</v>
      </c>
      <c r="I46" s="1592">
        <f t="shared" si="1"/>
        <v>1</v>
      </c>
      <c r="K46" s="1578">
        <f t="shared" si="21"/>
        <v>0</v>
      </c>
    </row>
    <row r="47" spans="1:15">
      <c r="A47" s="966" t="s">
        <v>1107</v>
      </c>
      <c r="B47" s="731">
        <v>4</v>
      </c>
      <c r="C47" s="965">
        <v>4</v>
      </c>
      <c r="D47" s="731"/>
      <c r="E47" s="965">
        <f>+C47</f>
        <v>4</v>
      </c>
      <c r="F47" s="965"/>
      <c r="G47" s="963">
        <f>+F47+E47+D47</f>
        <v>4</v>
      </c>
      <c r="H47" s="965">
        <v>3</v>
      </c>
      <c r="I47" s="1592">
        <f t="shared" si="1"/>
        <v>0.75</v>
      </c>
      <c r="K47" s="1578">
        <f t="shared" si="21"/>
        <v>0</v>
      </c>
    </row>
    <row r="48" spans="1:15">
      <c r="A48" s="650" t="s">
        <v>422</v>
      </c>
      <c r="B48" s="961">
        <f t="shared" ref="B48:G48" si="22">+B49</f>
        <v>0</v>
      </c>
      <c r="C48" s="962">
        <f t="shared" si="22"/>
        <v>0</v>
      </c>
      <c r="D48" s="961">
        <f t="shared" si="22"/>
        <v>0</v>
      </c>
      <c r="E48" s="962">
        <f t="shared" si="22"/>
        <v>0</v>
      </c>
      <c r="F48" s="962">
        <f t="shared" si="22"/>
        <v>0</v>
      </c>
      <c r="G48" s="963">
        <f t="shared" si="22"/>
        <v>0</v>
      </c>
      <c r="H48" s="962">
        <f>+H49</f>
        <v>0</v>
      </c>
      <c r="I48" s="1600" t="str">
        <f t="shared" si="1"/>
        <v>-</v>
      </c>
      <c r="K48" s="1578">
        <f t="shared" si="21"/>
        <v>0</v>
      </c>
    </row>
    <row r="49" spans="1:15">
      <c r="A49" s="966" t="s">
        <v>19</v>
      </c>
      <c r="B49" s="731"/>
      <c r="C49" s="965"/>
      <c r="D49" s="731"/>
      <c r="E49" s="965"/>
      <c r="F49" s="965"/>
      <c r="G49" s="963">
        <f>+F49+E49+D49</f>
        <v>0</v>
      </c>
      <c r="H49" s="965"/>
      <c r="I49" s="1592" t="str">
        <f t="shared" si="1"/>
        <v>-</v>
      </c>
      <c r="K49" s="1578">
        <f t="shared" si="21"/>
        <v>0</v>
      </c>
    </row>
    <row r="50" spans="1:15">
      <c r="A50" s="960" t="s">
        <v>774</v>
      </c>
      <c r="B50" s="961">
        <f t="shared" ref="B50:G50" si="23">+B51</f>
        <v>0</v>
      </c>
      <c r="C50" s="962">
        <f t="shared" si="23"/>
        <v>0</v>
      </c>
      <c r="D50" s="961">
        <f t="shared" si="23"/>
        <v>0</v>
      </c>
      <c r="E50" s="962">
        <f t="shared" si="23"/>
        <v>0</v>
      </c>
      <c r="F50" s="962">
        <f t="shared" si="23"/>
        <v>0</v>
      </c>
      <c r="G50" s="963">
        <f t="shared" si="23"/>
        <v>0</v>
      </c>
      <c r="H50" s="962">
        <f>+H51</f>
        <v>0</v>
      </c>
      <c r="I50" s="1600" t="str">
        <f t="shared" si="1"/>
        <v>-</v>
      </c>
      <c r="K50" s="1578">
        <f t="shared" si="21"/>
        <v>0</v>
      </c>
    </row>
    <row r="51" spans="1:15" ht="12.75" thickBot="1">
      <c r="A51" s="966" t="s">
        <v>19</v>
      </c>
      <c r="B51" s="968"/>
      <c r="C51" s="969"/>
      <c r="D51" s="968"/>
      <c r="E51" s="969"/>
      <c r="F51" s="969"/>
      <c r="G51" s="963">
        <f>+F51+E51+D51</f>
        <v>0</v>
      </c>
      <c r="H51" s="969"/>
      <c r="I51" s="1592" t="str">
        <f t="shared" si="1"/>
        <v>-</v>
      </c>
      <c r="K51" s="1578">
        <f t="shared" si="21"/>
        <v>0</v>
      </c>
    </row>
    <row r="52" spans="1:15" ht="12.75" thickBot="1">
      <c r="A52" s="146" t="s">
        <v>423</v>
      </c>
      <c r="B52" s="970">
        <f t="shared" ref="B52:G52" si="24">+B44+B48+B50</f>
        <v>9</v>
      </c>
      <c r="C52" s="979">
        <f t="shared" si="24"/>
        <v>9</v>
      </c>
      <c r="D52" s="970">
        <f t="shared" si="24"/>
        <v>0</v>
      </c>
      <c r="E52" s="971">
        <f t="shared" si="24"/>
        <v>9</v>
      </c>
      <c r="F52" s="972">
        <f t="shared" si="24"/>
        <v>0</v>
      </c>
      <c r="G52" s="973">
        <f t="shared" si="24"/>
        <v>9</v>
      </c>
      <c r="H52" s="979">
        <f>+H44+H48+H50</f>
        <v>8</v>
      </c>
      <c r="I52" s="1607">
        <f t="shared" si="1"/>
        <v>0.88888888888888884</v>
      </c>
      <c r="K52" s="1578">
        <f t="shared" si="21"/>
        <v>0</v>
      </c>
      <c r="L52" s="1586">
        <f>+'1.4.mell._HKK_Mérleg2019'!D239</f>
        <v>9</v>
      </c>
      <c r="M52" s="1578">
        <f>+C52-L52</f>
        <v>0</v>
      </c>
      <c r="N52" s="1586">
        <f>+'1.4.mell._HKK_Mérleg2019'!E239</f>
        <v>8</v>
      </c>
      <c r="O52" s="1578">
        <f>+N52-H52</f>
        <v>0</v>
      </c>
    </row>
    <row r="53" spans="1:15">
      <c r="A53" s="645"/>
      <c r="B53" s="646"/>
      <c r="C53" s="145"/>
      <c r="D53" s="646"/>
      <c r="E53" s="145"/>
      <c r="F53" s="145"/>
      <c r="G53" s="647"/>
      <c r="H53" s="145"/>
      <c r="I53" s="1169"/>
      <c r="K53" s="648"/>
      <c r="L53" s="649"/>
      <c r="M53" s="380"/>
      <c r="N53" s="649"/>
      <c r="O53" s="380"/>
    </row>
    <row r="54" spans="1:15">
      <c r="A54" s="650" t="s">
        <v>864</v>
      </c>
      <c r="B54" s="961">
        <f t="shared" ref="B54:G54" si="25">+B55</f>
        <v>0</v>
      </c>
      <c r="C54" s="962">
        <f t="shared" si="25"/>
        <v>0</v>
      </c>
      <c r="D54" s="961">
        <f t="shared" si="25"/>
        <v>0</v>
      </c>
      <c r="E54" s="962">
        <f t="shared" si="25"/>
        <v>0</v>
      </c>
      <c r="F54" s="962">
        <f t="shared" si="25"/>
        <v>0</v>
      </c>
      <c r="G54" s="963">
        <f t="shared" si="25"/>
        <v>0</v>
      </c>
      <c r="H54" s="962">
        <f>+H55</f>
        <v>0</v>
      </c>
      <c r="I54" s="1600" t="str">
        <f t="shared" si="1"/>
        <v>-</v>
      </c>
      <c r="K54" s="1578">
        <f>+G54-C54</f>
        <v>0</v>
      </c>
      <c r="O54" s="380"/>
    </row>
    <row r="55" spans="1:15">
      <c r="A55" s="966" t="s">
        <v>19</v>
      </c>
      <c r="B55" s="731"/>
      <c r="C55" s="965"/>
      <c r="D55" s="731"/>
      <c r="E55" s="965"/>
      <c r="F55" s="965"/>
      <c r="G55" s="963">
        <f>+F55+E55+D55</f>
        <v>0</v>
      </c>
      <c r="H55" s="965"/>
      <c r="I55" s="1592" t="str">
        <f t="shared" si="1"/>
        <v>-</v>
      </c>
      <c r="K55" s="1578">
        <f>+G55-C55</f>
        <v>0</v>
      </c>
    </row>
    <row r="56" spans="1:15">
      <c r="A56" s="650" t="s">
        <v>865</v>
      </c>
      <c r="B56" s="961">
        <f t="shared" ref="B56:G56" si="26">+B57</f>
        <v>3</v>
      </c>
      <c r="C56" s="962">
        <f t="shared" si="26"/>
        <v>3</v>
      </c>
      <c r="D56" s="961">
        <f t="shared" si="26"/>
        <v>0</v>
      </c>
      <c r="E56" s="962">
        <f t="shared" si="26"/>
        <v>3</v>
      </c>
      <c r="F56" s="962">
        <f t="shared" si="26"/>
        <v>0</v>
      </c>
      <c r="G56" s="963">
        <f t="shared" si="26"/>
        <v>3</v>
      </c>
      <c r="H56" s="962">
        <f>+H57</f>
        <v>3</v>
      </c>
      <c r="I56" s="1600">
        <f t="shared" si="1"/>
        <v>1</v>
      </c>
      <c r="K56" s="1578">
        <f>+G56-C56</f>
        <v>0</v>
      </c>
      <c r="O56" s="380"/>
    </row>
    <row r="57" spans="1:15">
      <c r="A57" s="966" t="s">
        <v>1086</v>
      </c>
      <c r="B57" s="731">
        <v>3</v>
      </c>
      <c r="C57" s="965">
        <v>3</v>
      </c>
      <c r="D57" s="731"/>
      <c r="E57" s="965">
        <f>+C57</f>
        <v>3</v>
      </c>
      <c r="F57" s="965"/>
      <c r="G57" s="963">
        <f>+F57+E57+D57</f>
        <v>3</v>
      </c>
      <c r="H57" s="965">
        <v>3</v>
      </c>
      <c r="I57" s="1592">
        <f t="shared" si="1"/>
        <v>1</v>
      </c>
      <c r="K57" s="1578">
        <f>+G57-C57</f>
        <v>0</v>
      </c>
    </row>
    <row r="58" spans="1:15">
      <c r="A58" s="960" t="s">
        <v>892</v>
      </c>
      <c r="B58" s="961">
        <f t="shared" ref="B58:G58" si="27">+B59</f>
        <v>0</v>
      </c>
      <c r="C58" s="962">
        <f t="shared" si="27"/>
        <v>0</v>
      </c>
      <c r="D58" s="961">
        <f t="shared" si="27"/>
        <v>0</v>
      </c>
      <c r="E58" s="962">
        <f t="shared" si="27"/>
        <v>0</v>
      </c>
      <c r="F58" s="962">
        <f t="shared" si="27"/>
        <v>0</v>
      </c>
      <c r="G58" s="963">
        <f t="shared" si="27"/>
        <v>0</v>
      </c>
      <c r="H58" s="962">
        <f>+H59</f>
        <v>0</v>
      </c>
      <c r="I58" s="1600" t="str">
        <f t="shared" si="1"/>
        <v>-</v>
      </c>
      <c r="K58" s="1578"/>
      <c r="O58" s="380"/>
    </row>
    <row r="59" spans="1:15" ht="12.75" thickBot="1">
      <c r="A59" s="966" t="s">
        <v>19</v>
      </c>
      <c r="B59" s="968"/>
      <c r="C59" s="969"/>
      <c r="D59" s="968"/>
      <c r="E59" s="969"/>
      <c r="F59" s="969"/>
      <c r="G59" s="963">
        <f>+F59+E59+D59</f>
        <v>0</v>
      </c>
      <c r="H59" s="969"/>
      <c r="I59" s="1592" t="str">
        <f t="shared" si="1"/>
        <v>-</v>
      </c>
      <c r="K59" s="1578">
        <f>+G59-C59</f>
        <v>0</v>
      </c>
    </row>
    <row r="60" spans="1:15" ht="12.75" thickBot="1">
      <c r="A60" s="146" t="s">
        <v>866</v>
      </c>
      <c r="B60" s="970">
        <f t="shared" ref="B60:G60" si="28">+B54+B56+B58</f>
        <v>3</v>
      </c>
      <c r="C60" s="979">
        <f t="shared" si="28"/>
        <v>3</v>
      </c>
      <c r="D60" s="970">
        <f t="shared" si="28"/>
        <v>0</v>
      </c>
      <c r="E60" s="971">
        <f t="shared" si="28"/>
        <v>3</v>
      </c>
      <c r="F60" s="972">
        <f t="shared" si="28"/>
        <v>0</v>
      </c>
      <c r="G60" s="973">
        <f t="shared" si="28"/>
        <v>3</v>
      </c>
      <c r="H60" s="979">
        <f>+H54+H56+H58</f>
        <v>3</v>
      </c>
      <c r="I60" s="1607">
        <f t="shared" si="1"/>
        <v>1</v>
      </c>
      <c r="K60" s="1578">
        <f>+G60-C60</f>
        <v>0</v>
      </c>
      <c r="L60" s="1586">
        <f>+'1.5._mell._MŐSZ_Mérleg2019'!D239</f>
        <v>3</v>
      </c>
      <c r="M60" s="1578">
        <f>+C60-L60</f>
        <v>0</v>
      </c>
      <c r="N60" s="1586">
        <f>+'1.5._mell._MŐSZ_Mérleg2019'!E239</f>
        <v>3</v>
      </c>
      <c r="O60" s="1578">
        <f>+N60-H60</f>
        <v>0</v>
      </c>
    </row>
    <row r="61" spans="1:15">
      <c r="A61" s="645"/>
      <c r="B61" s="646"/>
      <c r="C61" s="145"/>
      <c r="D61" s="646"/>
      <c r="E61" s="145"/>
      <c r="F61" s="145"/>
      <c r="G61" s="647"/>
      <c r="H61" s="145"/>
      <c r="I61" s="1608"/>
      <c r="K61" s="1578"/>
    </row>
    <row r="62" spans="1:15">
      <c r="A62" s="650" t="s">
        <v>1109</v>
      </c>
      <c r="B62" s="961">
        <f t="shared" ref="B62:G62" si="29">+B63+B64</f>
        <v>21</v>
      </c>
      <c r="C62" s="962">
        <f t="shared" si="29"/>
        <v>21</v>
      </c>
      <c r="D62" s="961">
        <f t="shared" si="29"/>
        <v>0</v>
      </c>
      <c r="E62" s="962">
        <f t="shared" si="29"/>
        <v>21</v>
      </c>
      <c r="F62" s="962">
        <f t="shared" si="29"/>
        <v>0</v>
      </c>
      <c r="G62" s="963">
        <f t="shared" si="29"/>
        <v>21</v>
      </c>
      <c r="H62" s="962">
        <f>+H63+H64</f>
        <v>18</v>
      </c>
      <c r="I62" s="1600">
        <f t="shared" si="1"/>
        <v>0.8571428571428571</v>
      </c>
      <c r="K62" s="1578">
        <f t="shared" ref="K62:K69" si="30">+G62-C62</f>
        <v>0</v>
      </c>
    </row>
    <row r="63" spans="1:15">
      <c r="A63" s="966" t="s">
        <v>1034</v>
      </c>
      <c r="B63" s="731">
        <v>8</v>
      </c>
      <c r="C63" s="965">
        <v>8</v>
      </c>
      <c r="D63" s="731"/>
      <c r="E63" s="965">
        <f>+C63</f>
        <v>8</v>
      </c>
      <c r="F63" s="965"/>
      <c r="G63" s="963">
        <f>+F63+E63+D63</f>
        <v>8</v>
      </c>
      <c r="H63" s="965">
        <v>8</v>
      </c>
      <c r="I63" s="1592">
        <f t="shared" si="1"/>
        <v>1</v>
      </c>
      <c r="K63" s="1578">
        <f t="shared" si="30"/>
        <v>0</v>
      </c>
    </row>
    <row r="64" spans="1:15">
      <c r="A64" s="966" t="s">
        <v>1035</v>
      </c>
      <c r="B64" s="731">
        <v>13</v>
      </c>
      <c r="C64" s="965">
        <v>13</v>
      </c>
      <c r="D64" s="731"/>
      <c r="E64" s="965">
        <f>+C64</f>
        <v>13</v>
      </c>
      <c r="F64" s="965"/>
      <c r="G64" s="963">
        <f>+F64+E64+D64</f>
        <v>13</v>
      </c>
      <c r="H64" s="965">
        <v>10</v>
      </c>
      <c r="I64" s="1592">
        <f t="shared" si="1"/>
        <v>0.76923076923076927</v>
      </c>
      <c r="K64" s="1578">
        <f t="shared" si="30"/>
        <v>0</v>
      </c>
    </row>
    <row r="65" spans="1:15">
      <c r="A65" s="650" t="s">
        <v>1110</v>
      </c>
      <c r="B65" s="961">
        <f t="shared" ref="B65:G65" si="31">+B66</f>
        <v>0</v>
      </c>
      <c r="C65" s="962">
        <f t="shared" si="31"/>
        <v>0</v>
      </c>
      <c r="D65" s="961">
        <f t="shared" si="31"/>
        <v>0</v>
      </c>
      <c r="E65" s="962">
        <f t="shared" si="31"/>
        <v>0</v>
      </c>
      <c r="F65" s="962">
        <f t="shared" si="31"/>
        <v>0</v>
      </c>
      <c r="G65" s="963">
        <f t="shared" si="31"/>
        <v>0</v>
      </c>
      <c r="H65" s="962">
        <f>+H66</f>
        <v>0</v>
      </c>
      <c r="I65" s="1600" t="str">
        <f t="shared" si="1"/>
        <v>-</v>
      </c>
      <c r="K65" s="1578">
        <f t="shared" si="30"/>
        <v>0</v>
      </c>
    </row>
    <row r="66" spans="1:15">
      <c r="A66" s="966" t="s">
        <v>19</v>
      </c>
      <c r="B66" s="731"/>
      <c r="C66" s="965"/>
      <c r="D66" s="731"/>
      <c r="E66" s="965"/>
      <c r="F66" s="965"/>
      <c r="G66" s="963">
        <f>+F66+E66+D66</f>
        <v>0</v>
      </c>
      <c r="H66" s="965"/>
      <c r="I66" s="1592" t="str">
        <f t="shared" si="1"/>
        <v>-</v>
      </c>
      <c r="K66" s="1578">
        <f t="shared" si="30"/>
        <v>0</v>
      </c>
    </row>
    <row r="67" spans="1:15">
      <c r="A67" s="960" t="s">
        <v>1111</v>
      </c>
      <c r="B67" s="961">
        <f t="shared" ref="B67:G67" si="32">+B68</f>
        <v>0</v>
      </c>
      <c r="C67" s="962">
        <f t="shared" si="32"/>
        <v>0</v>
      </c>
      <c r="D67" s="961">
        <f t="shared" si="32"/>
        <v>0</v>
      </c>
      <c r="E67" s="962">
        <f t="shared" si="32"/>
        <v>0</v>
      </c>
      <c r="F67" s="962">
        <f t="shared" si="32"/>
        <v>0</v>
      </c>
      <c r="G67" s="963">
        <f t="shared" si="32"/>
        <v>0</v>
      </c>
      <c r="H67" s="962">
        <f>+H68</f>
        <v>0</v>
      </c>
      <c r="I67" s="1600" t="str">
        <f t="shared" si="1"/>
        <v>-</v>
      </c>
      <c r="K67" s="1578">
        <f t="shared" si="30"/>
        <v>0</v>
      </c>
    </row>
    <row r="68" spans="1:15" ht="12.75" thickBot="1">
      <c r="A68" s="966" t="s">
        <v>19</v>
      </c>
      <c r="B68" s="968"/>
      <c r="C68" s="969"/>
      <c r="D68" s="968"/>
      <c r="E68" s="969"/>
      <c r="F68" s="969"/>
      <c r="G68" s="963">
        <f>+F68+E68+D68</f>
        <v>0</v>
      </c>
      <c r="H68" s="969"/>
      <c r="I68" s="1592" t="str">
        <f t="shared" si="1"/>
        <v>-</v>
      </c>
      <c r="K68" s="1578">
        <f t="shared" si="30"/>
        <v>0</v>
      </c>
    </row>
    <row r="69" spans="1:15" ht="12.75" thickBot="1">
      <c r="A69" s="146" t="s">
        <v>1112</v>
      </c>
      <c r="B69" s="970">
        <f t="shared" ref="B69:G69" si="33">+B62+B65+B67</f>
        <v>21</v>
      </c>
      <c r="C69" s="979">
        <f t="shared" si="33"/>
        <v>21</v>
      </c>
      <c r="D69" s="970">
        <f t="shared" si="33"/>
        <v>0</v>
      </c>
      <c r="E69" s="971">
        <f t="shared" si="33"/>
        <v>21</v>
      </c>
      <c r="F69" s="972">
        <f t="shared" si="33"/>
        <v>0</v>
      </c>
      <c r="G69" s="973">
        <f t="shared" si="33"/>
        <v>21</v>
      </c>
      <c r="H69" s="979">
        <f>+H62+H65+H67</f>
        <v>18</v>
      </c>
      <c r="I69" s="1607">
        <f t="shared" si="1"/>
        <v>0.8571428571428571</v>
      </c>
      <c r="K69" s="1578">
        <f t="shared" si="30"/>
        <v>0</v>
      </c>
      <c r="L69" s="1586">
        <f>+'1.6._mell._HVGYKCSSZ_Mérleg2019'!D239</f>
        <v>21</v>
      </c>
      <c r="M69" s="1578">
        <f>+C69-L69</f>
        <v>0</v>
      </c>
      <c r="N69" s="1586">
        <f>+'1.6._mell._HVGYKCSSZ_Mérleg2019'!E239</f>
        <v>18</v>
      </c>
      <c r="O69" s="1578">
        <f>+N69-H69</f>
        <v>0</v>
      </c>
    </row>
    <row r="70" spans="1:15" ht="12.75" thickBot="1">
      <c r="A70" s="974"/>
      <c r="B70" s="975"/>
      <c r="C70" s="977"/>
      <c r="D70" s="975"/>
      <c r="E70" s="976"/>
      <c r="F70" s="977"/>
      <c r="G70" s="963"/>
      <c r="H70" s="977"/>
      <c r="I70" s="1609"/>
      <c r="K70" s="1578"/>
    </row>
    <row r="71" spans="1:15" ht="12.75" thickBot="1">
      <c r="A71" s="978" t="s">
        <v>428</v>
      </c>
      <c r="B71" s="970">
        <f t="shared" ref="B71:G71" si="34">+B21+B33+B42+B60+B52+B69</f>
        <v>193</v>
      </c>
      <c r="C71" s="979">
        <f t="shared" si="34"/>
        <v>269</v>
      </c>
      <c r="D71" s="970">
        <f t="shared" si="34"/>
        <v>46</v>
      </c>
      <c r="E71" s="971">
        <f t="shared" si="34"/>
        <v>102</v>
      </c>
      <c r="F71" s="979">
        <f t="shared" si="34"/>
        <v>121</v>
      </c>
      <c r="G71" s="973">
        <f t="shared" si="34"/>
        <v>269</v>
      </c>
      <c r="H71" s="979">
        <f>+H21+H33+H42+H60+H52+H69</f>
        <v>231</v>
      </c>
      <c r="I71" s="1607">
        <f t="shared" si="1"/>
        <v>0.85873605947955389</v>
      </c>
      <c r="K71" s="1578">
        <f>+G71-C71</f>
        <v>0</v>
      </c>
      <c r="L71" s="1586">
        <f>+'1.mell._Össz_Mérleg2019'!D239</f>
        <v>269</v>
      </c>
      <c r="M71" s="1578">
        <f>+C71-L71</f>
        <v>0</v>
      </c>
      <c r="N71" s="1586">
        <f>+'1.mell._Össz_Mérleg2019'!E239</f>
        <v>231</v>
      </c>
      <c r="O71" s="1578">
        <f>+N71-H71</f>
        <v>0</v>
      </c>
    </row>
    <row r="72" spans="1:15">
      <c r="A72" s="820"/>
      <c r="B72" s="820"/>
      <c r="C72" s="820"/>
      <c r="D72" s="820"/>
      <c r="E72" s="820"/>
      <c r="F72" s="820"/>
      <c r="G72" s="820"/>
      <c r="H72" s="820"/>
      <c r="I72" s="143"/>
      <c r="K72" s="1578"/>
    </row>
    <row r="73" spans="1:15" ht="15.75">
      <c r="A73" s="1802" t="s">
        <v>424</v>
      </c>
      <c r="B73" s="1802"/>
      <c r="C73" s="1802"/>
      <c r="D73" s="1802"/>
      <c r="E73" s="1802"/>
      <c r="F73" s="1802"/>
      <c r="G73" s="1802"/>
      <c r="H73" s="1802"/>
      <c r="I73" s="1802"/>
      <c r="K73" s="1578"/>
    </row>
    <row r="74" spans="1:15" ht="12.75" thickBot="1">
      <c r="A74" s="820"/>
      <c r="B74" s="820"/>
      <c r="C74" s="820"/>
      <c r="D74" s="820"/>
      <c r="E74" s="820"/>
      <c r="F74" s="820"/>
      <c r="G74" s="820"/>
      <c r="H74" s="820"/>
      <c r="I74" s="143"/>
      <c r="K74" s="1578"/>
    </row>
    <row r="75" spans="1:15" s="718" customFormat="1" ht="12.75" customHeight="1" thickBot="1">
      <c r="A75" s="1803" t="s">
        <v>7</v>
      </c>
      <c r="B75" s="1816" t="s">
        <v>1555</v>
      </c>
      <c r="C75" s="1814" t="s">
        <v>2648</v>
      </c>
      <c r="D75" s="1807" t="s">
        <v>1312</v>
      </c>
      <c r="E75" s="1808"/>
      <c r="F75" s="1808"/>
      <c r="G75" s="1809"/>
      <c r="H75" s="1812" t="s">
        <v>2649</v>
      </c>
      <c r="I75" s="1805" t="s">
        <v>2645</v>
      </c>
      <c r="K75" s="1578"/>
      <c r="L75" s="1603"/>
      <c r="M75" s="151"/>
      <c r="N75" s="1603"/>
      <c r="O75" s="151"/>
    </row>
    <row r="76" spans="1:15" s="718" customFormat="1" ht="48.75" thickBot="1">
      <c r="A76" s="1804"/>
      <c r="B76" s="1817"/>
      <c r="C76" s="1815"/>
      <c r="D76" s="1575" t="s">
        <v>408</v>
      </c>
      <c r="E76" s="152" t="s">
        <v>409</v>
      </c>
      <c r="F76" s="1576" t="s">
        <v>410</v>
      </c>
      <c r="G76" s="1577" t="s">
        <v>18</v>
      </c>
      <c r="H76" s="1813"/>
      <c r="I76" s="1806"/>
      <c r="K76" s="1578"/>
      <c r="L76" s="1603"/>
      <c r="M76" s="151"/>
      <c r="N76" s="1603"/>
      <c r="O76" s="151"/>
    </row>
    <row r="77" spans="1:15">
      <c r="A77" s="957"/>
      <c r="B77" s="980"/>
      <c r="C77" s="1171"/>
      <c r="D77" s="980"/>
      <c r="E77" s="147"/>
      <c r="F77" s="147"/>
      <c r="G77" s="981"/>
      <c r="H77" s="1171"/>
      <c r="I77" s="1610"/>
      <c r="K77" s="1578"/>
    </row>
    <row r="78" spans="1:15">
      <c r="A78" s="960" t="s">
        <v>411</v>
      </c>
      <c r="B78" s="961">
        <f t="shared" ref="B78:G78" si="35">+B79+B80+B81</f>
        <v>121</v>
      </c>
      <c r="C78" s="962">
        <f t="shared" si="35"/>
        <v>157</v>
      </c>
      <c r="D78" s="961">
        <f t="shared" si="35"/>
        <v>0</v>
      </c>
      <c r="E78" s="962">
        <f t="shared" si="35"/>
        <v>0</v>
      </c>
      <c r="F78" s="962">
        <f t="shared" si="35"/>
        <v>157</v>
      </c>
      <c r="G78" s="963">
        <f t="shared" si="35"/>
        <v>157</v>
      </c>
      <c r="H78" s="962">
        <f>+H79+H80+H81</f>
        <v>121</v>
      </c>
      <c r="I78" s="1600">
        <f t="shared" ref="I78:I82" si="36">IF(ISERROR(H78/C78),"-",H78/C78)</f>
        <v>0.77070063694267521</v>
      </c>
      <c r="K78" s="1578">
        <f>+G78-C78</f>
        <v>0</v>
      </c>
    </row>
    <row r="79" spans="1:15">
      <c r="A79" s="982" t="s">
        <v>715</v>
      </c>
      <c r="B79" s="975">
        <v>0</v>
      </c>
      <c r="C79" s="977">
        <v>0</v>
      </c>
      <c r="D79" s="975"/>
      <c r="E79" s="977"/>
      <c r="F79" s="977">
        <f>+C79</f>
        <v>0</v>
      </c>
      <c r="G79" s="963">
        <f>+D79+E79+F79</f>
        <v>0</v>
      </c>
      <c r="H79" s="977"/>
      <c r="I79" s="1592" t="str">
        <f t="shared" si="36"/>
        <v>-</v>
      </c>
      <c r="K79" s="1578">
        <f>+G79-C79</f>
        <v>0</v>
      </c>
    </row>
    <row r="80" spans="1:15">
      <c r="A80" s="964" t="s">
        <v>718</v>
      </c>
      <c r="B80" s="731">
        <v>56</v>
      </c>
      <c r="C80" s="965">
        <f>56+36</f>
        <v>92</v>
      </c>
      <c r="D80" s="731"/>
      <c r="E80" s="965"/>
      <c r="F80" s="977">
        <f>+C80</f>
        <v>92</v>
      </c>
      <c r="G80" s="963">
        <f>+D80+E80+F80</f>
        <v>92</v>
      </c>
      <c r="H80" s="965">
        <v>77</v>
      </c>
      <c r="I80" s="1592">
        <f t="shared" si="36"/>
        <v>0.83695652173913049</v>
      </c>
      <c r="K80" s="1578">
        <f>+G80-C80</f>
        <v>0</v>
      </c>
    </row>
    <row r="81" spans="1:15" ht="12.75" thickBot="1">
      <c r="A81" s="983" t="s">
        <v>721</v>
      </c>
      <c r="B81" s="984">
        <v>65</v>
      </c>
      <c r="C81" s="985">
        <v>65</v>
      </c>
      <c r="D81" s="984"/>
      <c r="E81" s="985"/>
      <c r="F81" s="977">
        <f>+C81</f>
        <v>65</v>
      </c>
      <c r="G81" s="963">
        <f>+D81+E81+F81</f>
        <v>65</v>
      </c>
      <c r="H81" s="985">
        <v>44</v>
      </c>
      <c r="I81" s="1592">
        <f t="shared" si="36"/>
        <v>0.67692307692307696</v>
      </c>
      <c r="K81" s="1578">
        <f>+G81-C81</f>
        <v>0</v>
      </c>
    </row>
    <row r="82" spans="1:15" ht="12.75" thickBot="1">
      <c r="A82" s="146" t="s">
        <v>414</v>
      </c>
      <c r="B82" s="970">
        <f t="shared" ref="B82:G82" si="37">+B78</f>
        <v>121</v>
      </c>
      <c r="C82" s="979">
        <f t="shared" si="37"/>
        <v>157</v>
      </c>
      <c r="D82" s="970">
        <f t="shared" si="37"/>
        <v>0</v>
      </c>
      <c r="E82" s="979">
        <f t="shared" si="37"/>
        <v>0</v>
      </c>
      <c r="F82" s="979">
        <f t="shared" si="37"/>
        <v>157</v>
      </c>
      <c r="G82" s="973">
        <f t="shared" si="37"/>
        <v>157</v>
      </c>
      <c r="H82" s="979">
        <f>+H78</f>
        <v>121</v>
      </c>
      <c r="I82" s="1607">
        <f t="shared" si="36"/>
        <v>0.77070063694267521</v>
      </c>
      <c r="K82" s="1578">
        <f>+G82-C82</f>
        <v>0</v>
      </c>
      <c r="L82" s="1586">
        <f>+'1.1.mell._ÖNK_Mérleg2019'!D241</f>
        <v>157</v>
      </c>
      <c r="M82" s="1578">
        <f>+C82-L82</f>
        <v>0</v>
      </c>
      <c r="N82" s="1586">
        <f>+'1.1.mell._ÖNK_Mérleg2019'!E241</f>
        <v>121</v>
      </c>
      <c r="O82" s="1578">
        <f>+N82-H82</f>
        <v>0</v>
      </c>
    </row>
    <row r="83" spans="1:15" ht="12.75" thickBot="1">
      <c r="A83" s="146"/>
      <c r="B83" s="970"/>
      <c r="C83" s="979"/>
      <c r="D83" s="970"/>
      <c r="E83" s="979"/>
      <c r="F83" s="979"/>
      <c r="G83" s="973"/>
      <c r="H83" s="979"/>
      <c r="I83" s="1611"/>
      <c r="K83" s="1578"/>
    </row>
    <row r="84" spans="1:15" ht="12.75" thickBot="1">
      <c r="A84" s="978" t="s">
        <v>427</v>
      </c>
      <c r="B84" s="970">
        <f t="shared" ref="B84:G84" si="38">+B82</f>
        <v>121</v>
      </c>
      <c r="C84" s="979">
        <f t="shared" si="38"/>
        <v>157</v>
      </c>
      <c r="D84" s="970">
        <f t="shared" si="38"/>
        <v>0</v>
      </c>
      <c r="E84" s="971">
        <f t="shared" si="38"/>
        <v>0</v>
      </c>
      <c r="F84" s="979">
        <f t="shared" si="38"/>
        <v>157</v>
      </c>
      <c r="G84" s="973">
        <f t="shared" si="38"/>
        <v>157</v>
      </c>
      <c r="H84" s="979">
        <f>+H82</f>
        <v>121</v>
      </c>
      <c r="I84" s="1607">
        <f t="shared" ref="I84" si="39">IF(ISERROR(H84/C84),"-",H84/C84)</f>
        <v>0.77070063694267521</v>
      </c>
      <c r="K84" s="1578">
        <f>+G84-C84</f>
        <v>0</v>
      </c>
      <c r="L84" s="1586">
        <f>+'1.mell._Össz_Mérleg2019'!D241</f>
        <v>157</v>
      </c>
      <c r="M84" s="1578">
        <f>+C84-L84</f>
        <v>0</v>
      </c>
      <c r="N84" s="1586">
        <f>+'1.mell._Össz_Mérleg2019'!E241</f>
        <v>121</v>
      </c>
      <c r="O84" s="1578">
        <f>+N84-H84</f>
        <v>0</v>
      </c>
    </row>
    <row r="85" spans="1:15" ht="12.75" thickBot="1">
      <c r="K85" s="1578"/>
    </row>
    <row r="86" spans="1:15" s="718" customFormat="1" ht="12.75" thickBot="1">
      <c r="A86" s="986" t="s">
        <v>426</v>
      </c>
      <c r="B86" s="1172">
        <f t="shared" ref="B86:G86" si="40">+B71+B84</f>
        <v>314</v>
      </c>
      <c r="C86" s="1173">
        <f t="shared" si="40"/>
        <v>426</v>
      </c>
      <c r="D86" s="1172">
        <f t="shared" si="40"/>
        <v>46</v>
      </c>
      <c r="E86" s="988">
        <f t="shared" si="40"/>
        <v>102</v>
      </c>
      <c r="F86" s="1756">
        <f t="shared" si="40"/>
        <v>278</v>
      </c>
      <c r="G86" s="987">
        <f t="shared" si="40"/>
        <v>426</v>
      </c>
      <c r="H86" s="1173">
        <f>+H71+H84</f>
        <v>352</v>
      </c>
      <c r="I86" s="1607">
        <f t="shared" ref="I86" si="41">IF(ISERROR(H86/C86),"-",H86/C86)</f>
        <v>0.82629107981220662</v>
      </c>
      <c r="K86" s="1578">
        <f>+G86-C86</f>
        <v>0</v>
      </c>
      <c r="L86" s="1586">
        <f>+'1.mell._Össz_Mérleg2019'!D242</f>
        <v>426</v>
      </c>
      <c r="M86" s="1578">
        <f>+C86-L86</f>
        <v>0</v>
      </c>
      <c r="N86" s="1586">
        <f>+'1.mell._Össz_Mérleg2019'!E242</f>
        <v>352</v>
      </c>
      <c r="O86" s="1578">
        <f>+N86-H86</f>
        <v>0</v>
      </c>
    </row>
  </sheetData>
  <mergeCells count="15">
    <mergeCell ref="A3:I3"/>
    <mergeCell ref="A4:I4"/>
    <mergeCell ref="A73:I73"/>
    <mergeCell ref="A75:A76"/>
    <mergeCell ref="I75:I76"/>
    <mergeCell ref="D75:G75"/>
    <mergeCell ref="A6:A7"/>
    <mergeCell ref="D6:G6"/>
    <mergeCell ref="I6:I7"/>
    <mergeCell ref="H6:H7"/>
    <mergeCell ref="H75:H76"/>
    <mergeCell ref="C6:C7"/>
    <mergeCell ref="C75:C76"/>
    <mergeCell ref="B6:B7"/>
    <mergeCell ref="B75:B76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4">
    <tabColor rgb="FF00B0F0"/>
  </sheetPr>
  <dimension ref="A1:AF337"/>
  <sheetViews>
    <sheetView zoomScale="85" zoomScaleNormal="85" workbookViewId="0"/>
  </sheetViews>
  <sheetFormatPr defaultRowHeight="12"/>
  <cols>
    <col min="1" max="1" width="50.7109375" style="815" customWidth="1"/>
    <col min="2" max="10" width="10.7109375" style="815" customWidth="1"/>
    <col min="11" max="11" width="10.7109375" style="817" customWidth="1"/>
    <col min="12" max="12" width="50.7109375" style="815" customWidth="1"/>
    <col min="13" max="22" width="10.7109375" style="815" customWidth="1"/>
    <col min="23" max="23" width="10.7109375" style="815" hidden="1" customWidth="1"/>
    <col min="24" max="24" width="9.140625" style="815" hidden="1" customWidth="1"/>
    <col min="25" max="25" width="9.7109375" style="815" hidden="1" customWidth="1"/>
    <col min="26" max="28" width="9.140625" style="815" hidden="1" customWidth="1"/>
    <col min="29" max="29" width="9.7109375" style="815" hidden="1" customWidth="1"/>
    <col min="30" max="30" width="9.140625" style="815" hidden="1" customWidth="1"/>
    <col min="31" max="32" width="0" style="815" hidden="1" customWidth="1"/>
    <col min="33" max="16384" width="9.140625" style="815"/>
  </cols>
  <sheetData>
    <row r="1" spans="1:23" s="807" customFormat="1" ht="15.75">
      <c r="A1" s="540"/>
      <c r="B1" s="540"/>
      <c r="C1" s="540"/>
      <c r="D1" s="540"/>
      <c r="E1" s="540"/>
      <c r="F1" s="540"/>
      <c r="G1" s="540"/>
      <c r="H1" s="540"/>
      <c r="I1" s="540"/>
      <c r="J1" s="540"/>
      <c r="K1" s="719"/>
      <c r="L1" s="540"/>
      <c r="M1" s="540"/>
      <c r="N1" s="540"/>
      <c r="O1" s="540"/>
      <c r="P1" s="540"/>
      <c r="Q1" s="540"/>
      <c r="S1" s="153"/>
      <c r="T1" s="153"/>
      <c r="U1" s="153" t="s">
        <v>444</v>
      </c>
      <c r="V1" s="153"/>
      <c r="W1" s="153"/>
    </row>
    <row r="2" spans="1:23" s="807" customFormat="1" ht="15.75">
      <c r="A2" s="540"/>
      <c r="B2" s="540"/>
      <c r="C2" s="540"/>
      <c r="D2" s="540"/>
      <c r="E2" s="540"/>
      <c r="F2" s="540"/>
      <c r="G2" s="540"/>
      <c r="H2" s="540"/>
      <c r="I2" s="540"/>
      <c r="J2" s="540"/>
      <c r="K2" s="719"/>
      <c r="L2" s="540"/>
      <c r="M2" s="540"/>
      <c r="N2" s="540"/>
      <c r="O2" s="540"/>
      <c r="P2" s="540"/>
      <c r="Q2" s="540"/>
      <c r="R2" s="153"/>
      <c r="S2" s="153"/>
      <c r="T2" s="153"/>
      <c r="U2" s="153"/>
      <c r="V2" s="153"/>
      <c r="W2" s="153"/>
    </row>
    <row r="3" spans="1:23" s="807" customFormat="1" ht="15.75">
      <c r="A3" s="1818" t="s">
        <v>455</v>
      </c>
      <c r="B3" s="1818"/>
      <c r="C3" s="1818"/>
      <c r="D3" s="1818"/>
      <c r="E3" s="1818"/>
      <c r="F3" s="1818"/>
      <c r="G3" s="1818"/>
      <c r="H3" s="1818"/>
      <c r="I3" s="1818"/>
      <c r="J3" s="1818"/>
      <c r="K3" s="1818"/>
      <c r="L3" s="1818"/>
      <c r="M3" s="1818"/>
      <c r="N3" s="1818"/>
      <c r="O3" s="1818"/>
      <c r="P3" s="1818"/>
      <c r="Q3" s="1818"/>
      <c r="R3" s="1818"/>
      <c r="S3" s="1818"/>
      <c r="T3" s="1818"/>
      <c r="U3" s="1818"/>
      <c r="V3" s="1765"/>
      <c r="W3" s="1765"/>
    </row>
    <row r="4" spans="1:23" s="807" customFormat="1" ht="15.75">
      <c r="K4" s="808"/>
    </row>
    <row r="5" spans="1:23" s="807" customFormat="1" ht="15.75">
      <c r="A5" s="154" t="s">
        <v>430</v>
      </c>
      <c r="B5" s="1821" t="s">
        <v>1209</v>
      </c>
      <c r="C5" s="1821"/>
      <c r="D5" s="1821"/>
      <c r="E5" s="1821"/>
      <c r="F5" s="1821"/>
      <c r="G5" s="1821"/>
      <c r="H5" s="1821"/>
      <c r="I5" s="1821"/>
      <c r="J5" s="1821"/>
      <c r="K5" s="719"/>
      <c r="L5" s="154" t="s">
        <v>431</v>
      </c>
      <c r="M5" s="1821" t="s">
        <v>1116</v>
      </c>
      <c r="N5" s="1821"/>
      <c r="O5" s="1821"/>
      <c r="P5" s="1821"/>
      <c r="Q5" s="1821"/>
      <c r="R5" s="1821"/>
      <c r="S5" s="1821"/>
      <c r="T5" s="1821"/>
      <c r="U5" s="1821"/>
      <c r="V5" s="1767"/>
      <c r="W5" s="1767"/>
    </row>
    <row r="6" spans="1:23" s="807" customFormat="1" ht="15.75" customHeight="1">
      <c r="A6" s="1819" t="s">
        <v>1210</v>
      </c>
      <c r="B6" s="1819"/>
      <c r="C6" s="1819"/>
      <c r="D6" s="1819"/>
      <c r="E6" s="1819"/>
      <c r="F6" s="1819"/>
      <c r="G6" s="1819"/>
      <c r="H6" s="1819"/>
      <c r="I6" s="1819"/>
      <c r="J6" s="1819"/>
      <c r="K6" s="719"/>
      <c r="L6" s="1819" t="s">
        <v>1117</v>
      </c>
      <c r="M6" s="1819"/>
      <c r="N6" s="1819"/>
      <c r="O6" s="1819"/>
      <c r="P6" s="1819"/>
      <c r="Q6" s="1819"/>
      <c r="R6" s="1819"/>
      <c r="S6" s="1819"/>
      <c r="T6" s="1819"/>
      <c r="U6" s="1819"/>
      <c r="V6" s="1766"/>
      <c r="W6" s="1766"/>
    </row>
    <row r="7" spans="1:23" s="807" customFormat="1" ht="15.75">
      <c r="A7" s="1818" t="s">
        <v>1120</v>
      </c>
      <c r="B7" s="1818"/>
      <c r="C7" s="1818"/>
      <c r="D7" s="1818"/>
      <c r="E7" s="1818"/>
      <c r="F7" s="1818"/>
      <c r="G7" s="1818"/>
      <c r="H7" s="1818"/>
      <c r="I7" s="1818"/>
      <c r="J7" s="1818"/>
      <c r="K7" s="719"/>
      <c r="L7" s="1818" t="s">
        <v>1120</v>
      </c>
      <c r="M7" s="1818"/>
      <c r="N7" s="1818"/>
      <c r="O7" s="1818"/>
      <c r="P7" s="1818"/>
      <c r="Q7" s="1818"/>
      <c r="R7" s="1818"/>
      <c r="S7" s="1818"/>
      <c r="T7" s="1818"/>
      <c r="U7" s="1818"/>
      <c r="V7" s="1765"/>
      <c r="W7" s="1765"/>
    </row>
    <row r="8" spans="1:23" s="810" customFormat="1" ht="12.75" thickBot="1">
      <c r="A8" s="809"/>
      <c r="B8" s="809"/>
      <c r="C8" s="809"/>
      <c r="D8" s="809"/>
      <c r="E8" s="809"/>
      <c r="F8" s="809"/>
      <c r="G8" s="809"/>
      <c r="H8" s="809"/>
      <c r="J8" s="199" t="s">
        <v>281</v>
      </c>
      <c r="K8" s="811"/>
      <c r="L8" s="809"/>
      <c r="M8" s="809"/>
      <c r="R8" s="809"/>
      <c r="S8" s="809"/>
      <c r="U8" s="199" t="s">
        <v>281</v>
      </c>
      <c r="V8" s="797"/>
      <c r="W8" s="797"/>
    </row>
    <row r="9" spans="1:23" s="813" customFormat="1" ht="36.75" thickBot="1">
      <c r="A9" s="353" t="s">
        <v>432</v>
      </c>
      <c r="B9" s="354" t="s">
        <v>1314</v>
      </c>
      <c r="C9" s="1612" t="s">
        <v>1553</v>
      </c>
      <c r="D9" s="881" t="s">
        <v>1554</v>
      </c>
      <c r="E9" s="881" t="s">
        <v>2646</v>
      </c>
      <c r="F9" s="1613" t="s">
        <v>2645</v>
      </c>
      <c r="G9" s="335" t="s">
        <v>461</v>
      </c>
      <c r="H9" s="336" t="s">
        <v>462</v>
      </c>
      <c r="I9" s="336" t="s">
        <v>1313</v>
      </c>
      <c r="J9" s="1769" t="s">
        <v>18</v>
      </c>
      <c r="K9" s="812"/>
      <c r="L9" s="353" t="s">
        <v>432</v>
      </c>
      <c r="M9" s="354" t="s">
        <v>1314</v>
      </c>
      <c r="N9" s="1612" t="s">
        <v>1553</v>
      </c>
      <c r="O9" s="881" t="s">
        <v>1554</v>
      </c>
      <c r="P9" s="881" t="s">
        <v>2646</v>
      </c>
      <c r="Q9" s="1613" t="s">
        <v>2645</v>
      </c>
      <c r="R9" s="335" t="s">
        <v>461</v>
      </c>
      <c r="S9" s="336" t="s">
        <v>462</v>
      </c>
      <c r="T9" s="336" t="s">
        <v>1313</v>
      </c>
      <c r="U9" s="1769" t="s">
        <v>18</v>
      </c>
      <c r="V9" s="798"/>
      <c r="W9" s="798"/>
    </row>
    <row r="10" spans="1:23">
      <c r="A10" s="162" t="s">
        <v>433</v>
      </c>
      <c r="B10" s="163">
        <f t="shared" ref="B10:J10" si="0">+B27-B15-B14-B13-B12</f>
        <v>0</v>
      </c>
      <c r="C10" s="1174">
        <f t="shared" si="0"/>
        <v>0</v>
      </c>
      <c r="D10" s="1175">
        <f t="shared" ref="D10:E10" si="1">+D27-D15-D14-D13-D12</f>
        <v>0</v>
      </c>
      <c r="E10" s="1175">
        <f t="shared" si="1"/>
        <v>0</v>
      </c>
      <c r="F10" s="1614" t="str">
        <f t="shared" ref="F10:F16" si="2">IF(ISERROR(E10/D10),"-",E10/D10)</f>
        <v>-</v>
      </c>
      <c r="G10" s="164">
        <f t="shared" si="0"/>
        <v>0</v>
      </c>
      <c r="H10" s="165">
        <f t="shared" si="0"/>
        <v>0</v>
      </c>
      <c r="I10" s="165">
        <f t="shared" si="0"/>
        <v>0</v>
      </c>
      <c r="J10" s="166">
        <f t="shared" si="0"/>
        <v>0</v>
      </c>
      <c r="K10" s="814"/>
      <c r="L10" s="162" t="s">
        <v>433</v>
      </c>
      <c r="M10" s="163">
        <f t="shared" ref="M10:U10" si="3">+M27-M15-M14-M13-M12</f>
        <v>-190846</v>
      </c>
      <c r="N10" s="1174">
        <f t="shared" si="3"/>
        <v>190846</v>
      </c>
      <c r="O10" s="1175">
        <f t="shared" ref="O10:P10" si="4">+O27-O15-O14-O13-O12</f>
        <v>1537</v>
      </c>
      <c r="P10" s="1175">
        <f t="shared" si="4"/>
        <v>1537</v>
      </c>
      <c r="Q10" s="1614">
        <f t="shared" ref="Q10:Q16" si="5">IF(ISERROR(P10/O10),"-",P10/O10)</f>
        <v>1</v>
      </c>
      <c r="R10" s="164">
        <f t="shared" si="3"/>
        <v>189309</v>
      </c>
      <c r="S10" s="165">
        <f t="shared" si="3"/>
        <v>0</v>
      </c>
      <c r="T10" s="165">
        <f t="shared" si="3"/>
        <v>0</v>
      </c>
      <c r="U10" s="166">
        <f t="shared" si="3"/>
        <v>0</v>
      </c>
      <c r="V10" s="156"/>
      <c r="W10" s="156"/>
    </row>
    <row r="11" spans="1:23">
      <c r="A11" s="167" t="s">
        <v>434</v>
      </c>
      <c r="B11" s="168"/>
      <c r="C11" s="1176"/>
      <c r="D11" s="1177"/>
      <c r="E11" s="1177"/>
      <c r="F11" s="1615" t="str">
        <f t="shared" si="2"/>
        <v>-</v>
      </c>
      <c r="G11" s="169"/>
      <c r="H11" s="170"/>
      <c r="I11" s="170"/>
      <c r="J11" s="171">
        <f>+B11+IF(D11&lt;=E11,E11,D11)+G11+H11+I11</f>
        <v>0</v>
      </c>
      <c r="K11" s="814"/>
      <c r="L11" s="167" t="s">
        <v>434</v>
      </c>
      <c r="M11" s="168"/>
      <c r="N11" s="1176"/>
      <c r="O11" s="1177"/>
      <c r="P11" s="1177"/>
      <c r="Q11" s="1615" t="str">
        <f t="shared" si="5"/>
        <v>-</v>
      </c>
      <c r="R11" s="169"/>
      <c r="S11" s="170"/>
      <c r="T11" s="170"/>
      <c r="U11" s="171">
        <f>+M11+IF(O11&lt;=P11,P11,O11)+R11+S11+T11</f>
        <v>0</v>
      </c>
      <c r="V11" s="799"/>
      <c r="W11" s="799"/>
    </row>
    <row r="12" spans="1:23">
      <c r="A12" s="172" t="s">
        <v>435</v>
      </c>
      <c r="B12" s="173">
        <v>8997</v>
      </c>
      <c r="C12" s="182"/>
      <c r="D12" s="1178"/>
      <c r="E12" s="1178"/>
      <c r="F12" s="1615" t="str">
        <f t="shared" si="2"/>
        <v>-</v>
      </c>
      <c r="G12" s="174"/>
      <c r="H12" s="175"/>
      <c r="I12" s="175"/>
      <c r="J12" s="176">
        <f t="shared" ref="J12:J15" si="6">+B12+IF(D12&lt;=E12,E12,D12)+G12+H12+I12</f>
        <v>8997</v>
      </c>
      <c r="K12" s="814"/>
      <c r="L12" s="172" t="s">
        <v>435</v>
      </c>
      <c r="M12" s="173">
        <v>205000</v>
      </c>
      <c r="N12" s="182"/>
      <c r="O12" s="1178"/>
      <c r="P12" s="1178"/>
      <c r="Q12" s="1615" t="str">
        <f t="shared" si="5"/>
        <v>-</v>
      </c>
      <c r="R12" s="174"/>
      <c r="S12" s="175"/>
      <c r="T12" s="175"/>
      <c r="U12" s="176">
        <f t="shared" ref="U12:U15" si="7">+M12+IF(O12&lt;=P12,P12,O12)+R12+S12+T12</f>
        <v>205000</v>
      </c>
      <c r="V12" s="156"/>
      <c r="W12" s="156"/>
    </row>
    <row r="13" spans="1:23">
      <c r="A13" s="172" t="s">
        <v>436</v>
      </c>
      <c r="B13" s="173"/>
      <c r="C13" s="182"/>
      <c r="D13" s="1178"/>
      <c r="E13" s="1178"/>
      <c r="F13" s="1615" t="str">
        <f t="shared" si="2"/>
        <v>-</v>
      </c>
      <c r="G13" s="174"/>
      <c r="H13" s="175"/>
      <c r="I13" s="175"/>
      <c r="J13" s="176">
        <f t="shared" si="6"/>
        <v>0</v>
      </c>
      <c r="K13" s="814"/>
      <c r="L13" s="172" t="s">
        <v>436</v>
      </c>
      <c r="M13" s="173"/>
      <c r="N13" s="182"/>
      <c r="O13" s="1178"/>
      <c r="P13" s="1178"/>
      <c r="Q13" s="1615" t="str">
        <f t="shared" si="5"/>
        <v>-</v>
      </c>
      <c r="R13" s="174"/>
      <c r="S13" s="175"/>
      <c r="T13" s="175"/>
      <c r="U13" s="176">
        <f t="shared" si="7"/>
        <v>0</v>
      </c>
      <c r="V13" s="156"/>
      <c r="W13" s="156"/>
    </row>
    <row r="14" spans="1:23">
      <c r="A14" s="172" t="s">
        <v>437</v>
      </c>
      <c r="B14" s="173"/>
      <c r="C14" s="182"/>
      <c r="D14" s="1178"/>
      <c r="E14" s="1178"/>
      <c r="F14" s="1615" t="str">
        <f t="shared" si="2"/>
        <v>-</v>
      </c>
      <c r="G14" s="174"/>
      <c r="H14" s="175"/>
      <c r="I14" s="175"/>
      <c r="J14" s="176">
        <f t="shared" si="6"/>
        <v>0</v>
      </c>
      <c r="K14" s="814"/>
      <c r="L14" s="172" t="s">
        <v>437</v>
      </c>
      <c r="M14" s="173"/>
      <c r="N14" s="182"/>
      <c r="O14" s="1178"/>
      <c r="P14" s="1178"/>
      <c r="Q14" s="1615" t="str">
        <f t="shared" si="5"/>
        <v>-</v>
      </c>
      <c r="R14" s="174"/>
      <c r="S14" s="175"/>
      <c r="T14" s="175"/>
      <c r="U14" s="176">
        <f t="shared" si="7"/>
        <v>0</v>
      </c>
      <c r="V14" s="156"/>
      <c r="W14" s="156"/>
    </row>
    <row r="15" spans="1:23" ht="12.75" thickBot="1">
      <c r="A15" s="172" t="s">
        <v>438</v>
      </c>
      <c r="B15" s="173"/>
      <c r="C15" s="182"/>
      <c r="D15" s="1178"/>
      <c r="E15" s="1178"/>
      <c r="F15" s="1615" t="str">
        <f t="shared" si="2"/>
        <v>-</v>
      </c>
      <c r="G15" s="174"/>
      <c r="H15" s="175"/>
      <c r="I15" s="175"/>
      <c r="J15" s="176">
        <f t="shared" si="6"/>
        <v>0</v>
      </c>
      <c r="K15" s="814"/>
      <c r="L15" s="172" t="s">
        <v>438</v>
      </c>
      <c r="M15" s="173"/>
      <c r="N15" s="182"/>
      <c r="O15" s="1178"/>
      <c r="P15" s="1178"/>
      <c r="Q15" s="1615" t="str">
        <f t="shared" si="5"/>
        <v>-</v>
      </c>
      <c r="R15" s="174"/>
      <c r="S15" s="175"/>
      <c r="T15" s="175"/>
      <c r="U15" s="176">
        <f t="shared" si="7"/>
        <v>0</v>
      </c>
      <c r="V15" s="156"/>
      <c r="W15" s="156"/>
    </row>
    <row r="16" spans="1:23" ht="12.75" thickBot="1">
      <c r="A16" s="155" t="s">
        <v>439</v>
      </c>
      <c r="B16" s="177">
        <f t="shared" ref="B16:J16" si="8">+B10+B12+B13+B14+B15</f>
        <v>8997</v>
      </c>
      <c r="C16" s="155">
        <f t="shared" si="8"/>
        <v>0</v>
      </c>
      <c r="D16" s="1180">
        <f t="shared" ref="D16:E16" si="9">+D10+D12+D13+D14+D15</f>
        <v>0</v>
      </c>
      <c r="E16" s="1180">
        <f t="shared" si="9"/>
        <v>0</v>
      </c>
      <c r="F16" s="1616" t="str">
        <f t="shared" si="2"/>
        <v>-</v>
      </c>
      <c r="G16" s="179">
        <f t="shared" si="8"/>
        <v>0</v>
      </c>
      <c r="H16" s="177">
        <f t="shared" si="8"/>
        <v>0</v>
      </c>
      <c r="I16" s="177">
        <f t="shared" si="8"/>
        <v>0</v>
      </c>
      <c r="J16" s="178">
        <f t="shared" si="8"/>
        <v>8997</v>
      </c>
      <c r="K16" s="814"/>
      <c r="L16" s="155" t="s">
        <v>439</v>
      </c>
      <c r="M16" s="177">
        <f t="shared" ref="M16:U16" si="10">+M10+M12+M13+M14+M15</f>
        <v>14154</v>
      </c>
      <c r="N16" s="155">
        <f t="shared" si="10"/>
        <v>190846</v>
      </c>
      <c r="O16" s="1180">
        <f t="shared" ref="O16:P16" si="11">+O10+O12+O13+O14+O15</f>
        <v>1537</v>
      </c>
      <c r="P16" s="1180">
        <f t="shared" si="11"/>
        <v>1537</v>
      </c>
      <c r="Q16" s="1616">
        <f t="shared" si="5"/>
        <v>1</v>
      </c>
      <c r="R16" s="179">
        <f t="shared" si="10"/>
        <v>189309</v>
      </c>
      <c r="S16" s="177">
        <f t="shared" si="10"/>
        <v>0</v>
      </c>
      <c r="T16" s="177">
        <f t="shared" si="10"/>
        <v>0</v>
      </c>
      <c r="U16" s="178">
        <f t="shared" si="10"/>
        <v>205000</v>
      </c>
      <c r="V16" s="156"/>
      <c r="W16" s="156"/>
    </row>
    <row r="17" spans="1:29" ht="12.75" thickBot="1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814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</row>
    <row r="18" spans="1:29" s="813" customFormat="1" ht="36.75" thickBot="1">
      <c r="A18" s="353" t="s">
        <v>440</v>
      </c>
      <c r="B18" s="354" t="s">
        <v>1314</v>
      </c>
      <c r="C18" s="1612" t="s">
        <v>1553</v>
      </c>
      <c r="D18" s="881" t="s">
        <v>1554</v>
      </c>
      <c r="E18" s="881" t="s">
        <v>2646</v>
      </c>
      <c r="F18" s="1613" t="s">
        <v>2645</v>
      </c>
      <c r="G18" s="335" t="s">
        <v>461</v>
      </c>
      <c r="H18" s="336" t="s">
        <v>462</v>
      </c>
      <c r="I18" s="336" t="s">
        <v>1313</v>
      </c>
      <c r="J18" s="1769" t="s">
        <v>18</v>
      </c>
      <c r="K18" s="816"/>
      <c r="L18" s="353" t="s">
        <v>440</v>
      </c>
      <c r="M18" s="354" t="s">
        <v>1314</v>
      </c>
      <c r="N18" s="1612" t="s">
        <v>1553</v>
      </c>
      <c r="O18" s="881" t="s">
        <v>1554</v>
      </c>
      <c r="P18" s="881" t="s">
        <v>2646</v>
      </c>
      <c r="Q18" s="1613" t="s">
        <v>2645</v>
      </c>
      <c r="R18" s="335" t="s">
        <v>461</v>
      </c>
      <c r="S18" s="336" t="s">
        <v>462</v>
      </c>
      <c r="T18" s="336" t="s">
        <v>1313</v>
      </c>
      <c r="U18" s="1769" t="s">
        <v>18</v>
      </c>
      <c r="V18" s="798"/>
      <c r="W18" s="798"/>
    </row>
    <row r="19" spans="1:29">
      <c r="A19" s="162" t="s">
        <v>446</v>
      </c>
      <c r="B19" s="163"/>
      <c r="C19" s="1174"/>
      <c r="D19" s="1175"/>
      <c r="E19" s="1175"/>
      <c r="F19" s="1614" t="str">
        <f t="shared" ref="F19:F27" si="12">IF(ISERROR(E19/D19),"-",E19/D19)</f>
        <v>-</v>
      </c>
      <c r="G19" s="164"/>
      <c r="H19" s="165"/>
      <c r="I19" s="165"/>
      <c r="J19" s="166">
        <f>+B19+IF(D19&lt;=E19,E19,D19)+G19+H19+I19</f>
        <v>0</v>
      </c>
      <c r="K19" s="814"/>
      <c r="L19" s="162" t="s">
        <v>446</v>
      </c>
      <c r="M19" s="163"/>
      <c r="N19" s="1174"/>
      <c r="O19" s="1175"/>
      <c r="P19" s="1175"/>
      <c r="Q19" s="1614" t="str">
        <f t="shared" ref="Q19:Q27" si="13">IF(ISERROR(P19/O19),"-",P19/O19)</f>
        <v>-</v>
      </c>
      <c r="R19" s="164"/>
      <c r="S19" s="165"/>
      <c r="T19" s="165"/>
      <c r="U19" s="166">
        <f>+M19+IF(O19&lt;=P19,P19,O19)+R19+S19+T19</f>
        <v>0</v>
      </c>
      <c r="V19" s="156"/>
      <c r="W19" s="156"/>
    </row>
    <row r="20" spans="1:29">
      <c r="A20" s="181" t="s">
        <v>447</v>
      </c>
      <c r="B20" s="173"/>
      <c r="C20" s="182"/>
      <c r="D20" s="1178"/>
      <c r="E20" s="1178"/>
      <c r="F20" s="1615" t="str">
        <f t="shared" si="12"/>
        <v>-</v>
      </c>
      <c r="G20" s="174"/>
      <c r="H20" s="175"/>
      <c r="I20" s="175"/>
      <c r="J20" s="176">
        <f t="shared" ref="J20:J26" si="14">+B20+IF(D20&lt;=E20,E20,D20)+G20+H20+I20</f>
        <v>0</v>
      </c>
      <c r="K20" s="814"/>
      <c r="L20" s="181" t="s">
        <v>447</v>
      </c>
      <c r="M20" s="173"/>
      <c r="N20" s="182"/>
      <c r="O20" s="1178"/>
      <c r="P20" s="1178"/>
      <c r="Q20" s="1615" t="str">
        <f t="shared" si="13"/>
        <v>-</v>
      </c>
      <c r="R20" s="174"/>
      <c r="S20" s="175"/>
      <c r="T20" s="175"/>
      <c r="U20" s="176">
        <f t="shared" ref="U20:U26" si="15">+M20+IF(O20&lt;=P20,P20,O20)+R20+S20+T20</f>
        <v>0</v>
      </c>
      <c r="V20" s="156"/>
      <c r="W20" s="156"/>
    </row>
    <row r="21" spans="1:29">
      <c r="A21" s="172" t="s">
        <v>448</v>
      </c>
      <c r="B21" s="173">
        <v>6837</v>
      </c>
      <c r="C21" s="182"/>
      <c r="D21" s="1178"/>
      <c r="E21" s="1178"/>
      <c r="F21" s="1615" t="str">
        <f t="shared" si="12"/>
        <v>-</v>
      </c>
      <c r="G21" s="174"/>
      <c r="H21" s="175"/>
      <c r="I21" s="175"/>
      <c r="J21" s="176">
        <f t="shared" si="14"/>
        <v>6837</v>
      </c>
      <c r="K21" s="814"/>
      <c r="L21" s="172" t="s">
        <v>448</v>
      </c>
      <c r="M21" s="173">
        <v>9030</v>
      </c>
      <c r="N21" s="182"/>
      <c r="O21" s="1178">
        <v>1537</v>
      </c>
      <c r="P21" s="1178">
        <v>1537</v>
      </c>
      <c r="Q21" s="1615">
        <f t="shared" si="13"/>
        <v>1</v>
      </c>
      <c r="R21" s="174"/>
      <c r="S21" s="175"/>
      <c r="T21" s="175"/>
      <c r="U21" s="176">
        <f t="shared" si="15"/>
        <v>10567</v>
      </c>
      <c r="V21" s="156"/>
      <c r="W21" s="156"/>
    </row>
    <row r="22" spans="1:29">
      <c r="A22" s="172" t="s">
        <v>449</v>
      </c>
      <c r="B22" s="173"/>
      <c r="C22" s="182"/>
      <c r="D22" s="1178"/>
      <c r="E22" s="1178"/>
      <c r="F22" s="1615" t="str">
        <f t="shared" si="12"/>
        <v>-</v>
      </c>
      <c r="G22" s="174"/>
      <c r="H22" s="175"/>
      <c r="I22" s="175"/>
      <c r="J22" s="176">
        <f t="shared" si="14"/>
        <v>0</v>
      </c>
      <c r="K22" s="814"/>
      <c r="L22" s="172" t="s">
        <v>449</v>
      </c>
      <c r="M22" s="173"/>
      <c r="N22" s="182"/>
      <c r="O22" s="1178"/>
      <c r="P22" s="1178"/>
      <c r="Q22" s="1615" t="str">
        <f t="shared" si="13"/>
        <v>-</v>
      </c>
      <c r="R22" s="174"/>
      <c r="S22" s="175"/>
      <c r="T22" s="175"/>
      <c r="U22" s="176">
        <f t="shared" si="15"/>
        <v>0</v>
      </c>
      <c r="V22" s="156"/>
      <c r="W22" s="156"/>
    </row>
    <row r="23" spans="1:29">
      <c r="A23" s="182" t="s">
        <v>450</v>
      </c>
      <c r="B23" s="183"/>
      <c r="C23" s="182"/>
      <c r="D23" s="1178"/>
      <c r="E23" s="1178"/>
      <c r="F23" s="1615" t="str">
        <f t="shared" si="12"/>
        <v>-</v>
      </c>
      <c r="G23" s="174"/>
      <c r="H23" s="175"/>
      <c r="I23" s="175"/>
      <c r="J23" s="176">
        <f t="shared" si="14"/>
        <v>0</v>
      </c>
      <c r="L23" s="182" t="s">
        <v>450</v>
      </c>
      <c r="M23" s="183"/>
      <c r="N23" s="182">
        <v>190846</v>
      </c>
      <c r="O23" s="1178">
        <v>0</v>
      </c>
      <c r="P23" s="1178"/>
      <c r="Q23" s="1615" t="str">
        <f t="shared" si="13"/>
        <v>-</v>
      </c>
      <c r="R23" s="174">
        <v>189309</v>
      </c>
      <c r="S23" s="175"/>
      <c r="T23" s="175"/>
      <c r="U23" s="176">
        <f t="shared" si="15"/>
        <v>189309</v>
      </c>
      <c r="V23" s="156"/>
      <c r="W23" s="156"/>
      <c r="Y23" s="814"/>
      <c r="AC23" s="814"/>
    </row>
    <row r="24" spans="1:29">
      <c r="A24" s="182" t="s">
        <v>451</v>
      </c>
      <c r="B24" s="183">
        <v>2160</v>
      </c>
      <c r="C24" s="182"/>
      <c r="D24" s="1178"/>
      <c r="E24" s="1178"/>
      <c r="F24" s="1615" t="str">
        <f t="shared" si="12"/>
        <v>-</v>
      </c>
      <c r="G24" s="174"/>
      <c r="H24" s="175"/>
      <c r="I24" s="175"/>
      <c r="J24" s="176">
        <f t="shared" si="14"/>
        <v>2160</v>
      </c>
      <c r="L24" s="182" t="s">
        <v>451</v>
      </c>
      <c r="M24" s="183">
        <v>5124</v>
      </c>
      <c r="N24" s="182"/>
      <c r="O24" s="1178"/>
      <c r="P24" s="1178"/>
      <c r="Q24" s="1615" t="str">
        <f t="shared" si="13"/>
        <v>-</v>
      </c>
      <c r="R24" s="174"/>
      <c r="S24" s="175"/>
      <c r="T24" s="175"/>
      <c r="U24" s="176">
        <f t="shared" si="15"/>
        <v>5124</v>
      </c>
      <c r="V24" s="156"/>
      <c r="W24" s="156"/>
      <c r="Y24" s="814"/>
      <c r="AC24" s="814"/>
    </row>
    <row r="25" spans="1:29">
      <c r="A25" s="184" t="s">
        <v>452</v>
      </c>
      <c r="B25" s="185"/>
      <c r="C25" s="184"/>
      <c r="D25" s="1181"/>
      <c r="E25" s="1181"/>
      <c r="F25" s="1617" t="str">
        <f t="shared" si="12"/>
        <v>-</v>
      </c>
      <c r="G25" s="186"/>
      <c r="H25" s="187"/>
      <c r="I25" s="187"/>
      <c r="J25" s="176">
        <f t="shared" si="14"/>
        <v>0</v>
      </c>
      <c r="L25" s="184" t="s">
        <v>452</v>
      </c>
      <c r="M25" s="185"/>
      <c r="N25" s="184"/>
      <c r="O25" s="1181"/>
      <c r="P25" s="1181"/>
      <c r="Q25" s="1617" t="str">
        <f t="shared" si="13"/>
        <v>-</v>
      </c>
      <c r="R25" s="186"/>
      <c r="S25" s="187"/>
      <c r="T25" s="187"/>
      <c r="U25" s="176">
        <f t="shared" si="15"/>
        <v>0</v>
      </c>
      <c r="V25" s="156"/>
      <c r="W25" s="156"/>
      <c r="Y25" s="814"/>
      <c r="AC25" s="814"/>
    </row>
    <row r="26" spans="1:29" ht="12.75" thickBot="1">
      <c r="A26" s="184" t="s">
        <v>453</v>
      </c>
      <c r="B26" s="185"/>
      <c r="C26" s="184"/>
      <c r="D26" s="1181"/>
      <c r="E26" s="1181"/>
      <c r="F26" s="1617" t="str">
        <f t="shared" si="12"/>
        <v>-</v>
      </c>
      <c r="G26" s="186"/>
      <c r="H26" s="187"/>
      <c r="I26" s="187"/>
      <c r="J26" s="176">
        <f t="shared" si="14"/>
        <v>0</v>
      </c>
      <c r="L26" s="184" t="s">
        <v>453</v>
      </c>
      <c r="M26" s="185"/>
      <c r="N26" s="184"/>
      <c r="O26" s="1181"/>
      <c r="P26" s="1181"/>
      <c r="Q26" s="1617" t="str">
        <f t="shared" si="13"/>
        <v>-</v>
      </c>
      <c r="R26" s="186"/>
      <c r="S26" s="187"/>
      <c r="T26" s="187"/>
      <c r="U26" s="176">
        <f t="shared" si="15"/>
        <v>0</v>
      </c>
      <c r="V26" s="156"/>
      <c r="W26" s="156"/>
      <c r="Y26" s="814"/>
      <c r="AC26" s="814"/>
    </row>
    <row r="27" spans="1:29" ht="12.75" thickBot="1">
      <c r="A27" s="155" t="s">
        <v>454</v>
      </c>
      <c r="B27" s="177">
        <f t="shared" ref="B27:J27" si="16">+B19+B20+B21+B22+B23+B24+B25+B26</f>
        <v>8997</v>
      </c>
      <c r="C27" s="155">
        <f t="shared" si="16"/>
        <v>0</v>
      </c>
      <c r="D27" s="1180">
        <f t="shared" ref="D27:E27" si="17">+D19+D20+D21+D22+D23+D24+D25+D26</f>
        <v>0</v>
      </c>
      <c r="E27" s="1180">
        <f t="shared" si="17"/>
        <v>0</v>
      </c>
      <c r="F27" s="1616" t="str">
        <f t="shared" si="12"/>
        <v>-</v>
      </c>
      <c r="G27" s="179">
        <f t="shared" si="16"/>
        <v>0</v>
      </c>
      <c r="H27" s="177">
        <f t="shared" si="16"/>
        <v>0</v>
      </c>
      <c r="I27" s="177">
        <f t="shared" si="16"/>
        <v>0</v>
      </c>
      <c r="J27" s="178">
        <f t="shared" si="16"/>
        <v>8997</v>
      </c>
      <c r="L27" s="155" t="s">
        <v>454</v>
      </c>
      <c r="M27" s="177">
        <f t="shared" ref="M27:U27" si="18">+M19+M20+M21+M22+M23+M24+M25+M26</f>
        <v>14154</v>
      </c>
      <c r="N27" s="155">
        <f t="shared" si="18"/>
        <v>190846</v>
      </c>
      <c r="O27" s="1180">
        <f t="shared" ref="O27:P27" si="19">+O19+O20+O21+O22+O23+O24+O25+O26</f>
        <v>1537</v>
      </c>
      <c r="P27" s="1180">
        <f t="shared" si="19"/>
        <v>1537</v>
      </c>
      <c r="Q27" s="1616">
        <f t="shared" si="13"/>
        <v>1</v>
      </c>
      <c r="R27" s="179">
        <f t="shared" si="18"/>
        <v>189309</v>
      </c>
      <c r="S27" s="177">
        <f t="shared" si="18"/>
        <v>0</v>
      </c>
      <c r="T27" s="177">
        <f t="shared" si="18"/>
        <v>0</v>
      </c>
      <c r="U27" s="178">
        <f t="shared" si="18"/>
        <v>205000</v>
      </c>
      <c r="V27" s="156"/>
      <c r="W27" s="156"/>
      <c r="Y27" s="814"/>
      <c r="AC27" s="814"/>
    </row>
    <row r="28" spans="1:29">
      <c r="Y28" s="817"/>
      <c r="AC28" s="817"/>
    </row>
    <row r="29" spans="1:29">
      <c r="Y29" s="817"/>
      <c r="AC29" s="817"/>
    </row>
    <row r="30" spans="1:29" s="807" customFormat="1" ht="15.75">
      <c r="A30" s="154" t="s">
        <v>442</v>
      </c>
      <c r="B30" s="1823" t="s">
        <v>1119</v>
      </c>
      <c r="C30" s="1823"/>
      <c r="D30" s="1823"/>
      <c r="E30" s="1823"/>
      <c r="F30" s="1823"/>
      <c r="G30" s="1823"/>
      <c r="H30" s="1823"/>
      <c r="I30" s="1823"/>
      <c r="J30" s="1823"/>
      <c r="K30" s="719"/>
      <c r="L30" s="154" t="s">
        <v>443</v>
      </c>
      <c r="M30" s="1821" t="s">
        <v>1491</v>
      </c>
      <c r="N30" s="1821"/>
      <c r="O30" s="1821"/>
      <c r="P30" s="1821"/>
      <c r="Q30" s="1821"/>
      <c r="R30" s="1821"/>
      <c r="S30" s="1821"/>
      <c r="T30" s="1821"/>
      <c r="U30" s="1821"/>
      <c r="V30" s="1767"/>
      <c r="W30" s="1767"/>
    </row>
    <row r="31" spans="1:29" s="807" customFormat="1" ht="15.75" customHeight="1">
      <c r="A31" s="1819" t="s">
        <v>1118</v>
      </c>
      <c r="B31" s="1819"/>
      <c r="C31" s="1819"/>
      <c r="D31" s="1819"/>
      <c r="E31" s="1819"/>
      <c r="F31" s="1819"/>
      <c r="G31" s="1819"/>
      <c r="H31" s="1819"/>
      <c r="I31" s="1819"/>
      <c r="J31" s="1819"/>
      <c r="K31" s="719"/>
      <c r="L31" s="1819" t="s">
        <v>1492</v>
      </c>
      <c r="M31" s="1819"/>
      <c r="N31" s="1819"/>
      <c r="O31" s="1819"/>
      <c r="P31" s="1819"/>
      <c r="Q31" s="1819"/>
      <c r="R31" s="1819"/>
      <c r="S31" s="1819"/>
      <c r="T31" s="1819"/>
      <c r="U31" s="1819"/>
      <c r="V31" s="1766"/>
      <c r="W31" s="1766"/>
    </row>
    <row r="32" spans="1:29" s="807" customFormat="1" ht="15.75">
      <c r="A32" s="1818" t="s">
        <v>1120</v>
      </c>
      <c r="B32" s="1818"/>
      <c r="C32" s="1818"/>
      <c r="D32" s="1818"/>
      <c r="E32" s="1818"/>
      <c r="F32" s="1818"/>
      <c r="G32" s="1818"/>
      <c r="H32" s="1818"/>
      <c r="I32" s="1818"/>
      <c r="J32" s="1818"/>
      <c r="K32" s="719"/>
      <c r="L32" s="1818" t="s">
        <v>1120</v>
      </c>
      <c r="M32" s="1818"/>
      <c r="N32" s="1818"/>
      <c r="O32" s="1818"/>
      <c r="P32" s="1818"/>
      <c r="Q32" s="1818"/>
      <c r="R32" s="1818"/>
      <c r="S32" s="1818"/>
      <c r="T32" s="1818"/>
      <c r="U32" s="1818"/>
      <c r="V32" s="1765"/>
      <c r="W32" s="1765"/>
    </row>
    <row r="33" spans="1:23" s="810" customFormat="1" ht="12.75" thickBot="1">
      <c r="A33" s="809"/>
      <c r="B33" s="809"/>
      <c r="G33" s="809"/>
      <c r="H33" s="809"/>
      <c r="J33" s="199" t="s">
        <v>281</v>
      </c>
      <c r="K33" s="811"/>
      <c r="L33" s="809"/>
      <c r="M33" s="809"/>
      <c r="N33" s="809"/>
      <c r="O33" s="809"/>
      <c r="P33" s="809"/>
      <c r="Q33" s="809"/>
      <c r="R33" s="809"/>
      <c r="S33" s="809"/>
      <c r="U33" s="199" t="s">
        <v>281</v>
      </c>
      <c r="V33" s="797"/>
      <c r="W33" s="797"/>
    </row>
    <row r="34" spans="1:23" s="813" customFormat="1" ht="36.75" thickBot="1">
      <c r="A34" s="353" t="s">
        <v>432</v>
      </c>
      <c r="B34" s="354" t="s">
        <v>1314</v>
      </c>
      <c r="C34" s="1612" t="s">
        <v>1553</v>
      </c>
      <c r="D34" s="881" t="s">
        <v>1554</v>
      </c>
      <c r="E34" s="881" t="s">
        <v>2646</v>
      </c>
      <c r="F34" s="1613" t="s">
        <v>2645</v>
      </c>
      <c r="G34" s="335" t="s">
        <v>461</v>
      </c>
      <c r="H34" s="336" t="s">
        <v>462</v>
      </c>
      <c r="I34" s="336" t="s">
        <v>1313</v>
      </c>
      <c r="J34" s="1769" t="s">
        <v>18</v>
      </c>
      <c r="K34" s="816"/>
      <c r="L34" s="353" t="s">
        <v>432</v>
      </c>
      <c r="M34" s="354" t="s">
        <v>1314</v>
      </c>
      <c r="N34" s="1612" t="s">
        <v>1553</v>
      </c>
      <c r="O34" s="881" t="s">
        <v>1554</v>
      </c>
      <c r="P34" s="881" t="s">
        <v>2646</v>
      </c>
      <c r="Q34" s="1613" t="s">
        <v>2645</v>
      </c>
      <c r="R34" s="335" t="s">
        <v>461</v>
      </c>
      <c r="S34" s="336" t="s">
        <v>462</v>
      </c>
      <c r="T34" s="336" t="s">
        <v>1313</v>
      </c>
      <c r="U34" s="1769" t="s">
        <v>18</v>
      </c>
      <c r="V34" s="798"/>
      <c r="W34" s="798"/>
    </row>
    <row r="35" spans="1:23">
      <c r="A35" s="162" t="s">
        <v>433</v>
      </c>
      <c r="B35" s="163">
        <f t="shared" ref="B35:J35" si="20">+B52-B40-B39-B38-B37</f>
        <v>-177292</v>
      </c>
      <c r="C35" s="1174">
        <f t="shared" si="20"/>
        <v>177292</v>
      </c>
      <c r="D35" s="1175">
        <f t="shared" ref="D35:E35" si="21">+D52-D40-D39-D38-D37</f>
        <v>0</v>
      </c>
      <c r="E35" s="1175">
        <f t="shared" si="21"/>
        <v>0</v>
      </c>
      <c r="F35" s="1614" t="str">
        <f t="shared" ref="F35:F41" si="22">IF(ISERROR(E35/D35),"-",E35/D35)</f>
        <v>-</v>
      </c>
      <c r="G35" s="164">
        <f t="shared" si="20"/>
        <v>177292</v>
      </c>
      <c r="H35" s="165">
        <f t="shared" si="20"/>
        <v>0</v>
      </c>
      <c r="I35" s="165">
        <f t="shared" si="20"/>
        <v>0</v>
      </c>
      <c r="J35" s="166">
        <f t="shared" si="20"/>
        <v>0</v>
      </c>
      <c r="K35" s="814"/>
      <c r="L35" s="162" t="s">
        <v>433</v>
      </c>
      <c r="M35" s="163">
        <f t="shared" ref="M35:U35" si="23">+M52-M40-M39-M38-M37</f>
        <v>-438917</v>
      </c>
      <c r="N35" s="1174">
        <f t="shared" si="23"/>
        <v>438916</v>
      </c>
      <c r="O35" s="1175">
        <f t="shared" ref="O35:P35" si="24">+O52-O40-O39-O38-O37</f>
        <v>-148165</v>
      </c>
      <c r="P35" s="1175">
        <f t="shared" si="24"/>
        <v>-148165</v>
      </c>
      <c r="Q35" s="1614">
        <f t="shared" ref="Q35:Q41" si="25">IF(ISERROR(P35/O35),"-",P35/O35)</f>
        <v>1</v>
      </c>
      <c r="R35" s="164">
        <f t="shared" si="23"/>
        <v>587082</v>
      </c>
      <c r="S35" s="165">
        <f t="shared" si="23"/>
        <v>0</v>
      </c>
      <c r="T35" s="165">
        <f t="shared" si="23"/>
        <v>0</v>
      </c>
      <c r="U35" s="166">
        <f t="shared" si="23"/>
        <v>0</v>
      </c>
      <c r="V35" s="156"/>
      <c r="W35" s="156"/>
    </row>
    <row r="36" spans="1:23">
      <c r="A36" s="167" t="s">
        <v>434</v>
      </c>
      <c r="B36" s="168"/>
      <c r="C36" s="1176"/>
      <c r="D36" s="1177"/>
      <c r="E36" s="1177"/>
      <c r="F36" s="1615" t="str">
        <f t="shared" si="22"/>
        <v>-</v>
      </c>
      <c r="G36" s="169"/>
      <c r="H36" s="170"/>
      <c r="I36" s="170"/>
      <c r="J36" s="171">
        <f>+B36+IF(D36&lt;=E36,E36,D36)+G36+H36+I36</f>
        <v>0</v>
      </c>
      <c r="K36" s="814"/>
      <c r="L36" s="167" t="s">
        <v>434</v>
      </c>
      <c r="M36" s="168"/>
      <c r="N36" s="1176"/>
      <c r="O36" s="1177"/>
      <c r="P36" s="1177"/>
      <c r="Q36" s="1615" t="str">
        <f t="shared" si="25"/>
        <v>-</v>
      </c>
      <c r="R36" s="169"/>
      <c r="S36" s="170"/>
      <c r="T36" s="170"/>
      <c r="U36" s="171">
        <f>+M36+IF(O36&lt;=P36,P36,O36)+R36+S36+T36</f>
        <v>0</v>
      </c>
      <c r="V36" s="799"/>
      <c r="W36" s="799"/>
    </row>
    <row r="37" spans="1:23">
      <c r="A37" s="172" t="s">
        <v>435</v>
      </c>
      <c r="B37" s="173">
        <v>177292</v>
      </c>
      <c r="C37" s="182"/>
      <c r="D37" s="1178"/>
      <c r="E37" s="1178"/>
      <c r="F37" s="1615" t="str">
        <f t="shared" si="22"/>
        <v>-</v>
      </c>
      <c r="G37" s="174"/>
      <c r="H37" s="175"/>
      <c r="I37" s="175"/>
      <c r="J37" s="176">
        <f t="shared" ref="J37:J40" si="26">+B37+IF(D37&lt;=E37,E37,D37)+G37+H37+I37</f>
        <v>177292</v>
      </c>
      <c r="K37" s="814"/>
      <c r="L37" s="172" t="s">
        <v>435</v>
      </c>
      <c r="M37" s="173">
        <v>438917</v>
      </c>
      <c r="N37" s="182"/>
      <c r="O37" s="1178">
        <v>177800</v>
      </c>
      <c r="P37" s="1178">
        <v>177800</v>
      </c>
      <c r="Q37" s="1615">
        <f t="shared" si="25"/>
        <v>1</v>
      </c>
      <c r="R37" s="174"/>
      <c r="S37" s="175"/>
      <c r="T37" s="175"/>
      <c r="U37" s="176">
        <f t="shared" ref="U37:U40" si="27">+M37+IF(O37&lt;=P37,P37,O37)+R37+S37+T37</f>
        <v>616717</v>
      </c>
      <c r="V37" s="156"/>
      <c r="W37" s="156"/>
    </row>
    <row r="38" spans="1:23">
      <c r="A38" s="172" t="s">
        <v>436</v>
      </c>
      <c r="B38" s="173"/>
      <c r="C38" s="182"/>
      <c r="D38" s="1178"/>
      <c r="E38" s="1178"/>
      <c r="F38" s="1615" t="str">
        <f t="shared" si="22"/>
        <v>-</v>
      </c>
      <c r="G38" s="174"/>
      <c r="H38" s="175"/>
      <c r="I38" s="175"/>
      <c r="J38" s="176">
        <f t="shared" si="26"/>
        <v>0</v>
      </c>
      <c r="K38" s="814"/>
      <c r="L38" s="172" t="s">
        <v>436</v>
      </c>
      <c r="M38" s="173"/>
      <c r="N38" s="182"/>
      <c r="O38" s="1178"/>
      <c r="P38" s="1178"/>
      <c r="Q38" s="1615" t="str">
        <f t="shared" si="25"/>
        <v>-</v>
      </c>
      <c r="R38" s="174"/>
      <c r="S38" s="175"/>
      <c r="T38" s="175"/>
      <c r="U38" s="176">
        <f t="shared" si="27"/>
        <v>0</v>
      </c>
      <c r="V38" s="156"/>
      <c r="W38" s="156"/>
    </row>
    <row r="39" spans="1:23">
      <c r="A39" s="172" t="s">
        <v>437</v>
      </c>
      <c r="B39" s="173"/>
      <c r="C39" s="182"/>
      <c r="D39" s="1178"/>
      <c r="E39" s="1178"/>
      <c r="F39" s="1615" t="str">
        <f t="shared" si="22"/>
        <v>-</v>
      </c>
      <c r="G39" s="174"/>
      <c r="H39" s="175"/>
      <c r="I39" s="175"/>
      <c r="J39" s="176">
        <f t="shared" si="26"/>
        <v>0</v>
      </c>
      <c r="K39" s="814"/>
      <c r="L39" s="172" t="s">
        <v>437</v>
      </c>
      <c r="M39" s="173"/>
      <c r="N39" s="182"/>
      <c r="O39" s="1178"/>
      <c r="P39" s="1178"/>
      <c r="Q39" s="1615" t="str">
        <f t="shared" si="25"/>
        <v>-</v>
      </c>
      <c r="R39" s="174"/>
      <c r="S39" s="175"/>
      <c r="T39" s="175"/>
      <c r="U39" s="176">
        <f t="shared" si="27"/>
        <v>0</v>
      </c>
      <c r="V39" s="156"/>
      <c r="W39" s="156"/>
    </row>
    <row r="40" spans="1:23" ht="12.75" thickBot="1">
      <c r="A40" s="172" t="s">
        <v>438</v>
      </c>
      <c r="B40" s="173"/>
      <c r="C40" s="182"/>
      <c r="D40" s="1178"/>
      <c r="E40" s="1178"/>
      <c r="F40" s="1615" t="str">
        <f t="shared" si="22"/>
        <v>-</v>
      </c>
      <c r="G40" s="174"/>
      <c r="H40" s="175"/>
      <c r="I40" s="175"/>
      <c r="J40" s="176">
        <f t="shared" si="26"/>
        <v>0</v>
      </c>
      <c r="K40" s="814"/>
      <c r="L40" s="172" t="s">
        <v>438</v>
      </c>
      <c r="M40" s="173"/>
      <c r="N40" s="182"/>
      <c r="O40" s="1178"/>
      <c r="P40" s="1178"/>
      <c r="Q40" s="1615" t="str">
        <f t="shared" si="25"/>
        <v>-</v>
      </c>
      <c r="R40" s="174"/>
      <c r="S40" s="175"/>
      <c r="T40" s="175"/>
      <c r="U40" s="176">
        <f t="shared" si="27"/>
        <v>0</v>
      </c>
      <c r="V40" s="156"/>
      <c r="W40" s="156"/>
    </row>
    <row r="41" spans="1:23" ht="12.75" thickBot="1">
      <c r="A41" s="155" t="s">
        <v>439</v>
      </c>
      <c r="B41" s="177">
        <f t="shared" ref="B41:J41" si="28">+B35+B37+B38+B39+B40</f>
        <v>0</v>
      </c>
      <c r="C41" s="155">
        <f t="shared" si="28"/>
        <v>177292</v>
      </c>
      <c r="D41" s="1180">
        <f t="shared" ref="D41:E41" si="29">+D35+D37+D38+D39+D40</f>
        <v>0</v>
      </c>
      <c r="E41" s="1180">
        <f t="shared" si="29"/>
        <v>0</v>
      </c>
      <c r="F41" s="1616" t="str">
        <f t="shared" si="22"/>
        <v>-</v>
      </c>
      <c r="G41" s="179">
        <f t="shared" si="28"/>
        <v>177292</v>
      </c>
      <c r="H41" s="177">
        <f t="shared" si="28"/>
        <v>0</v>
      </c>
      <c r="I41" s="177">
        <f t="shared" si="28"/>
        <v>0</v>
      </c>
      <c r="J41" s="178">
        <f t="shared" si="28"/>
        <v>177292</v>
      </c>
      <c r="K41" s="814"/>
      <c r="L41" s="155" t="s">
        <v>439</v>
      </c>
      <c r="M41" s="177">
        <f t="shared" ref="M41:U41" si="30">+M35+M37+M38+M39+M40</f>
        <v>0</v>
      </c>
      <c r="N41" s="155">
        <f t="shared" si="30"/>
        <v>438916</v>
      </c>
      <c r="O41" s="1180">
        <f t="shared" ref="O41:P41" si="31">+O35+O37+O38+O39+O40</f>
        <v>29635</v>
      </c>
      <c r="P41" s="1180">
        <f t="shared" si="31"/>
        <v>29635</v>
      </c>
      <c r="Q41" s="1616">
        <f t="shared" si="25"/>
        <v>1</v>
      </c>
      <c r="R41" s="179">
        <f t="shared" si="30"/>
        <v>587082</v>
      </c>
      <c r="S41" s="177">
        <f t="shared" si="30"/>
        <v>0</v>
      </c>
      <c r="T41" s="177">
        <f t="shared" si="30"/>
        <v>0</v>
      </c>
      <c r="U41" s="178">
        <f t="shared" si="30"/>
        <v>616717</v>
      </c>
      <c r="V41" s="156"/>
      <c r="W41" s="156"/>
    </row>
    <row r="42" spans="1:23" ht="12.75" thickBot="1">
      <c r="A42" s="180"/>
      <c r="B42" s="180"/>
      <c r="C42" s="180"/>
      <c r="D42" s="180"/>
      <c r="E42" s="180"/>
      <c r="F42" s="180"/>
      <c r="G42" s="180"/>
      <c r="H42" s="180"/>
      <c r="I42" s="180"/>
      <c r="J42" s="180"/>
      <c r="K42" s="814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</row>
    <row r="43" spans="1:23" s="813" customFormat="1" ht="36.75" thickBot="1">
      <c r="A43" s="353" t="s">
        <v>440</v>
      </c>
      <c r="B43" s="354" t="s">
        <v>1314</v>
      </c>
      <c r="C43" s="1612" t="s">
        <v>1553</v>
      </c>
      <c r="D43" s="881" t="s">
        <v>1554</v>
      </c>
      <c r="E43" s="881" t="s">
        <v>2646</v>
      </c>
      <c r="F43" s="1613" t="s">
        <v>2645</v>
      </c>
      <c r="G43" s="335" t="s">
        <v>461</v>
      </c>
      <c r="H43" s="336" t="s">
        <v>462</v>
      </c>
      <c r="I43" s="336" t="s">
        <v>1313</v>
      </c>
      <c r="J43" s="1769" t="s">
        <v>18</v>
      </c>
      <c r="K43" s="816"/>
      <c r="L43" s="353" t="s">
        <v>440</v>
      </c>
      <c r="M43" s="354" t="s">
        <v>1314</v>
      </c>
      <c r="N43" s="1612" t="s">
        <v>1553</v>
      </c>
      <c r="O43" s="881" t="s">
        <v>1554</v>
      </c>
      <c r="P43" s="881" t="s">
        <v>2646</v>
      </c>
      <c r="Q43" s="1613" t="s">
        <v>2645</v>
      </c>
      <c r="R43" s="335" t="s">
        <v>461</v>
      </c>
      <c r="S43" s="336" t="s">
        <v>462</v>
      </c>
      <c r="T43" s="336" t="s">
        <v>1313</v>
      </c>
      <c r="U43" s="1769" t="s">
        <v>18</v>
      </c>
      <c r="V43" s="798"/>
      <c r="W43" s="798"/>
    </row>
    <row r="44" spans="1:23">
      <c r="A44" s="162" t="s">
        <v>446</v>
      </c>
      <c r="B44" s="163"/>
      <c r="C44" s="1174"/>
      <c r="D44" s="1175"/>
      <c r="E44" s="1175"/>
      <c r="F44" s="1614" t="str">
        <f t="shared" ref="F44:F52" si="32">IF(ISERROR(E44/D44),"-",E44/D44)</f>
        <v>-</v>
      </c>
      <c r="G44" s="164"/>
      <c r="H44" s="165"/>
      <c r="I44" s="165"/>
      <c r="J44" s="166">
        <f>+B44+IF(D44&lt;=E44,E44,D44)+G44+H44+I44</f>
        <v>0</v>
      </c>
      <c r="K44" s="814"/>
      <c r="L44" s="162" t="s">
        <v>446</v>
      </c>
      <c r="M44" s="163"/>
      <c r="N44" s="1174"/>
      <c r="O44" s="1175"/>
      <c r="P44" s="1175"/>
      <c r="Q44" s="1614" t="str">
        <f t="shared" ref="Q44:Q52" si="33">IF(ISERROR(P44/O44),"-",P44/O44)</f>
        <v>-</v>
      </c>
      <c r="R44" s="164"/>
      <c r="S44" s="165"/>
      <c r="T44" s="165"/>
      <c r="U44" s="166">
        <f>+M44+IF(O44&lt;=P44,P44,O44)+R44+S44+T44</f>
        <v>0</v>
      </c>
      <c r="V44" s="156"/>
      <c r="W44" s="156"/>
    </row>
    <row r="45" spans="1:23">
      <c r="A45" s="181" t="s">
        <v>447</v>
      </c>
      <c r="B45" s="173"/>
      <c r="C45" s="182"/>
      <c r="D45" s="1178"/>
      <c r="E45" s="1178"/>
      <c r="F45" s="1615" t="str">
        <f t="shared" si="32"/>
        <v>-</v>
      </c>
      <c r="G45" s="174"/>
      <c r="H45" s="175"/>
      <c r="I45" s="175"/>
      <c r="J45" s="176">
        <f t="shared" ref="J45:J51" si="34">+B45+IF(D45&lt;=E45,E45,D45)+G45+H45+I45</f>
        <v>0</v>
      </c>
      <c r="K45" s="814"/>
      <c r="L45" s="181" t="s">
        <v>447</v>
      </c>
      <c r="M45" s="173"/>
      <c r="N45" s="182"/>
      <c r="O45" s="1178"/>
      <c r="P45" s="1178"/>
      <c r="Q45" s="1615" t="str">
        <f t="shared" si="33"/>
        <v>-</v>
      </c>
      <c r="R45" s="174"/>
      <c r="S45" s="175"/>
      <c r="T45" s="175"/>
      <c r="U45" s="176">
        <f t="shared" ref="U45:U51" si="35">+M45+IF(O45&lt;=P45,P45,O45)+R45+S45+T45</f>
        <v>0</v>
      </c>
      <c r="V45" s="156"/>
      <c r="W45" s="156"/>
    </row>
    <row r="46" spans="1:23">
      <c r="A46" s="172" t="s">
        <v>448</v>
      </c>
      <c r="B46" s="173"/>
      <c r="C46" s="182"/>
      <c r="D46" s="1178"/>
      <c r="E46" s="1178"/>
      <c r="F46" s="1615" t="str">
        <f t="shared" si="32"/>
        <v>-</v>
      </c>
      <c r="G46" s="174"/>
      <c r="H46" s="175"/>
      <c r="I46" s="175"/>
      <c r="J46" s="176">
        <f t="shared" si="34"/>
        <v>0</v>
      </c>
      <c r="K46" s="814"/>
      <c r="L46" s="172" t="s">
        <v>448</v>
      </c>
      <c r="M46" s="173"/>
      <c r="N46" s="182"/>
      <c r="O46" s="1178">
        <v>14224</v>
      </c>
      <c r="P46" s="1178">
        <v>14224</v>
      </c>
      <c r="Q46" s="1615">
        <f t="shared" si="33"/>
        <v>1</v>
      </c>
      <c r="R46" s="174"/>
      <c r="S46" s="175"/>
      <c r="T46" s="175"/>
      <c r="U46" s="176">
        <f t="shared" si="35"/>
        <v>14224</v>
      </c>
      <c r="V46" s="156"/>
      <c r="W46" s="156"/>
    </row>
    <row r="47" spans="1:23">
      <c r="A47" s="172" t="s">
        <v>449</v>
      </c>
      <c r="B47" s="173"/>
      <c r="C47" s="182"/>
      <c r="D47" s="1178"/>
      <c r="E47" s="1178"/>
      <c r="F47" s="1615" t="str">
        <f t="shared" si="32"/>
        <v>-</v>
      </c>
      <c r="G47" s="174"/>
      <c r="H47" s="175"/>
      <c r="I47" s="175"/>
      <c r="J47" s="176">
        <f t="shared" si="34"/>
        <v>0</v>
      </c>
      <c r="K47" s="814"/>
      <c r="L47" s="172" t="s">
        <v>449</v>
      </c>
      <c r="M47" s="173"/>
      <c r="N47" s="182"/>
      <c r="O47" s="1178"/>
      <c r="P47" s="1178"/>
      <c r="Q47" s="1615" t="str">
        <f t="shared" si="33"/>
        <v>-</v>
      </c>
      <c r="R47" s="174"/>
      <c r="S47" s="175"/>
      <c r="T47" s="175"/>
      <c r="U47" s="176">
        <f t="shared" si="35"/>
        <v>0</v>
      </c>
      <c r="V47" s="156"/>
      <c r="W47" s="156"/>
    </row>
    <row r="48" spans="1:23">
      <c r="A48" s="182" t="s">
        <v>450</v>
      </c>
      <c r="B48" s="183"/>
      <c r="C48" s="182">
        <v>177292</v>
      </c>
      <c r="D48" s="1178">
        <v>0</v>
      </c>
      <c r="E48" s="1178">
        <v>0</v>
      </c>
      <c r="F48" s="1615" t="str">
        <f t="shared" si="32"/>
        <v>-</v>
      </c>
      <c r="G48" s="174">
        <v>177292</v>
      </c>
      <c r="H48" s="175"/>
      <c r="I48" s="175"/>
      <c r="J48" s="176">
        <f t="shared" si="34"/>
        <v>177292</v>
      </c>
      <c r="K48" s="814"/>
      <c r="L48" s="182" t="s">
        <v>450</v>
      </c>
      <c r="M48" s="183"/>
      <c r="N48" s="182">
        <v>438916</v>
      </c>
      <c r="O48" s="1178">
        <v>0</v>
      </c>
      <c r="P48" s="1178"/>
      <c r="Q48" s="1615" t="str">
        <f t="shared" si="33"/>
        <v>-</v>
      </c>
      <c r="R48" s="174">
        <v>587082</v>
      </c>
      <c r="S48" s="175"/>
      <c r="T48" s="175"/>
      <c r="U48" s="176">
        <f t="shared" si="35"/>
        <v>587082</v>
      </c>
      <c r="V48" s="156"/>
      <c r="W48" s="156"/>
    </row>
    <row r="49" spans="1:30">
      <c r="A49" s="182" t="s">
        <v>451</v>
      </c>
      <c r="B49" s="183"/>
      <c r="C49" s="182"/>
      <c r="D49" s="1178"/>
      <c r="E49" s="1178"/>
      <c r="F49" s="1615" t="str">
        <f t="shared" si="32"/>
        <v>-</v>
      </c>
      <c r="G49" s="174"/>
      <c r="H49" s="175"/>
      <c r="I49" s="175"/>
      <c r="J49" s="176">
        <f t="shared" si="34"/>
        <v>0</v>
      </c>
      <c r="K49" s="814"/>
      <c r="L49" s="182" t="s">
        <v>451</v>
      </c>
      <c r="M49" s="183"/>
      <c r="N49" s="182"/>
      <c r="O49" s="1178">
        <v>15411</v>
      </c>
      <c r="P49" s="1178">
        <v>15411</v>
      </c>
      <c r="Q49" s="1615">
        <f t="shared" si="33"/>
        <v>1</v>
      </c>
      <c r="R49" s="174"/>
      <c r="S49" s="175"/>
      <c r="T49" s="175"/>
      <c r="U49" s="176">
        <f t="shared" si="35"/>
        <v>15411</v>
      </c>
      <c r="V49" s="156"/>
      <c r="W49" s="156"/>
    </row>
    <row r="50" spans="1:30">
      <c r="A50" s="184" t="s">
        <v>452</v>
      </c>
      <c r="B50" s="185"/>
      <c r="C50" s="184"/>
      <c r="D50" s="1181"/>
      <c r="E50" s="1181"/>
      <c r="F50" s="1617" t="str">
        <f t="shared" si="32"/>
        <v>-</v>
      </c>
      <c r="G50" s="186"/>
      <c r="H50" s="187"/>
      <c r="I50" s="187"/>
      <c r="J50" s="176">
        <f t="shared" si="34"/>
        <v>0</v>
      </c>
      <c r="K50" s="814"/>
      <c r="L50" s="184" t="s">
        <v>452</v>
      </c>
      <c r="M50" s="185"/>
      <c r="N50" s="184"/>
      <c r="O50" s="1181"/>
      <c r="P50" s="1181"/>
      <c r="Q50" s="1617" t="str">
        <f t="shared" si="33"/>
        <v>-</v>
      </c>
      <c r="R50" s="186"/>
      <c r="S50" s="187"/>
      <c r="T50" s="187"/>
      <c r="U50" s="176">
        <f t="shared" si="35"/>
        <v>0</v>
      </c>
      <c r="V50" s="156"/>
      <c r="W50" s="156"/>
    </row>
    <row r="51" spans="1:30" ht="12.75" thickBot="1">
      <c r="A51" s="184" t="s">
        <v>453</v>
      </c>
      <c r="B51" s="185"/>
      <c r="C51" s="184"/>
      <c r="D51" s="1181"/>
      <c r="E51" s="1181"/>
      <c r="F51" s="1617" t="str">
        <f t="shared" si="32"/>
        <v>-</v>
      </c>
      <c r="G51" s="186"/>
      <c r="H51" s="187"/>
      <c r="I51" s="187"/>
      <c r="J51" s="176">
        <f t="shared" si="34"/>
        <v>0</v>
      </c>
      <c r="K51" s="814"/>
      <c r="L51" s="184" t="s">
        <v>453</v>
      </c>
      <c r="M51" s="185"/>
      <c r="N51" s="184"/>
      <c r="O51" s="1181"/>
      <c r="P51" s="1181"/>
      <c r="Q51" s="1617" t="str">
        <f t="shared" si="33"/>
        <v>-</v>
      </c>
      <c r="R51" s="186"/>
      <c r="S51" s="187"/>
      <c r="T51" s="187"/>
      <c r="U51" s="176">
        <f t="shared" si="35"/>
        <v>0</v>
      </c>
      <c r="V51" s="156"/>
      <c r="W51" s="156"/>
    </row>
    <row r="52" spans="1:30" ht="12.75" thickBot="1">
      <c r="A52" s="155" t="s">
        <v>454</v>
      </c>
      <c r="B52" s="177">
        <f t="shared" ref="B52:J52" si="36">+B44+B45+B46+B47+B48+B49+B50+B51</f>
        <v>0</v>
      </c>
      <c r="C52" s="155">
        <f t="shared" si="36"/>
        <v>177292</v>
      </c>
      <c r="D52" s="1180">
        <f t="shared" ref="D52:E52" si="37">+D44+D45+D46+D47+D48+D49+D50+D51</f>
        <v>0</v>
      </c>
      <c r="E52" s="1180">
        <f t="shared" si="37"/>
        <v>0</v>
      </c>
      <c r="F52" s="1616" t="str">
        <f t="shared" si="32"/>
        <v>-</v>
      </c>
      <c r="G52" s="179">
        <f t="shared" si="36"/>
        <v>177292</v>
      </c>
      <c r="H52" s="177">
        <f t="shared" si="36"/>
        <v>0</v>
      </c>
      <c r="I52" s="177">
        <f t="shared" si="36"/>
        <v>0</v>
      </c>
      <c r="J52" s="178">
        <f t="shared" si="36"/>
        <v>177292</v>
      </c>
      <c r="L52" s="155" t="s">
        <v>454</v>
      </c>
      <c r="M52" s="177">
        <f t="shared" ref="M52:U52" si="38">+M44+M45+M46+M47+M48+M49+M50+M51</f>
        <v>0</v>
      </c>
      <c r="N52" s="155">
        <f t="shared" si="38"/>
        <v>438916</v>
      </c>
      <c r="O52" s="1180">
        <f t="shared" ref="O52:P52" si="39">+O44+O45+O46+O47+O48+O49+O50+O51</f>
        <v>29635</v>
      </c>
      <c r="P52" s="1180">
        <f t="shared" si="39"/>
        <v>29635</v>
      </c>
      <c r="Q52" s="1616">
        <f t="shared" si="33"/>
        <v>1</v>
      </c>
      <c r="R52" s="179">
        <f t="shared" si="38"/>
        <v>587082</v>
      </c>
      <c r="S52" s="177">
        <f t="shared" si="38"/>
        <v>0</v>
      </c>
      <c r="T52" s="177">
        <f t="shared" si="38"/>
        <v>0</v>
      </c>
      <c r="U52" s="178">
        <f t="shared" si="38"/>
        <v>616717</v>
      </c>
      <c r="V52" s="156"/>
      <c r="W52" s="156"/>
      <c r="Y52" s="814"/>
      <c r="AC52" s="814"/>
    </row>
    <row r="53" spans="1:30">
      <c r="A53" s="156"/>
      <c r="B53" s="156"/>
      <c r="C53" s="156"/>
      <c r="D53" s="156"/>
      <c r="E53" s="156"/>
      <c r="F53" s="156"/>
      <c r="G53" s="156"/>
      <c r="H53" s="156"/>
      <c r="I53" s="156"/>
      <c r="J53" s="156"/>
      <c r="K53" s="814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</row>
    <row r="54" spans="1:30">
      <c r="A54" s="156"/>
      <c r="B54" s="156"/>
      <c r="C54" s="156"/>
      <c r="D54" s="156"/>
      <c r="E54" s="156"/>
      <c r="F54" s="156"/>
      <c r="G54" s="156"/>
      <c r="H54" s="156"/>
      <c r="I54" s="156"/>
      <c r="J54" s="156"/>
      <c r="K54" s="814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</row>
    <row r="55" spans="1:30" s="807" customFormat="1" ht="15.75">
      <c r="A55" s="154" t="s">
        <v>1211</v>
      </c>
      <c r="B55" s="1821" t="s">
        <v>1213</v>
      </c>
      <c r="C55" s="1821"/>
      <c r="D55" s="1821"/>
      <c r="E55" s="1821"/>
      <c r="F55" s="1821"/>
      <c r="G55" s="1821"/>
      <c r="H55" s="1821"/>
      <c r="I55" s="1821"/>
      <c r="J55" s="1821"/>
      <c r="K55" s="719"/>
      <c r="L55" s="154" t="s">
        <v>1212</v>
      </c>
      <c r="M55" s="1821" t="s">
        <v>1216</v>
      </c>
      <c r="N55" s="1821"/>
      <c r="O55" s="1821"/>
      <c r="P55" s="1821"/>
      <c r="Q55" s="1821"/>
      <c r="R55" s="1821"/>
      <c r="S55" s="1821"/>
      <c r="T55" s="1821"/>
      <c r="U55" s="1821"/>
      <c r="V55" s="1767"/>
      <c r="W55" s="1767"/>
    </row>
    <row r="56" spans="1:30" s="807" customFormat="1" ht="32.25" customHeight="1">
      <c r="A56" s="1819" t="s">
        <v>1214</v>
      </c>
      <c r="B56" s="1819"/>
      <c r="C56" s="1819"/>
      <c r="D56" s="1819"/>
      <c r="E56" s="1819"/>
      <c r="F56" s="1819"/>
      <c r="G56" s="1819"/>
      <c r="H56" s="1819"/>
      <c r="I56" s="1819"/>
      <c r="J56" s="1819"/>
      <c r="K56" s="719"/>
      <c r="L56" s="1819" t="s">
        <v>1219</v>
      </c>
      <c r="M56" s="1819"/>
      <c r="N56" s="1819"/>
      <c r="O56" s="1819"/>
      <c r="P56" s="1819"/>
      <c r="Q56" s="1819"/>
      <c r="R56" s="1819"/>
      <c r="S56" s="1819"/>
      <c r="T56" s="1819"/>
      <c r="U56" s="1819"/>
      <c r="V56" s="1766"/>
      <c r="W56" s="1766"/>
    </row>
    <row r="57" spans="1:30" s="807" customFormat="1" ht="15.75">
      <c r="A57" s="1818" t="s">
        <v>1120</v>
      </c>
      <c r="B57" s="1818"/>
      <c r="C57" s="1818"/>
      <c r="D57" s="1818"/>
      <c r="E57" s="1818"/>
      <c r="F57" s="1818"/>
      <c r="G57" s="1818"/>
      <c r="H57" s="1818"/>
      <c r="I57" s="1818"/>
      <c r="J57" s="1818"/>
      <c r="K57" s="719"/>
      <c r="L57" s="1818" t="s">
        <v>1120</v>
      </c>
      <c r="M57" s="1818"/>
      <c r="N57" s="1818"/>
      <c r="O57" s="1818"/>
      <c r="P57" s="1818"/>
      <c r="Q57" s="1818"/>
      <c r="R57" s="1818"/>
      <c r="S57" s="1818"/>
      <c r="T57" s="1818"/>
      <c r="U57" s="1818"/>
      <c r="V57" s="1765"/>
      <c r="W57" s="1765"/>
    </row>
    <row r="58" spans="1:30" s="810" customFormat="1" ht="12.75" thickBot="1">
      <c r="A58" s="809"/>
      <c r="B58" s="809"/>
      <c r="G58" s="809"/>
      <c r="H58" s="809"/>
      <c r="J58" s="199" t="s">
        <v>281</v>
      </c>
      <c r="K58" s="811"/>
      <c r="L58" s="809"/>
      <c r="M58" s="809"/>
      <c r="N58" s="809"/>
      <c r="O58" s="809"/>
      <c r="P58" s="809"/>
      <c r="Q58" s="809"/>
      <c r="R58" s="809"/>
      <c r="S58" s="809"/>
      <c r="U58" s="199" t="s">
        <v>281</v>
      </c>
      <c r="V58" s="797"/>
      <c r="W58" s="797"/>
    </row>
    <row r="59" spans="1:30" s="813" customFormat="1" ht="36.75" thickBot="1">
      <c r="A59" s="353" t="s">
        <v>432</v>
      </c>
      <c r="B59" s="354" t="s">
        <v>1314</v>
      </c>
      <c r="C59" s="1612" t="s">
        <v>1553</v>
      </c>
      <c r="D59" s="881" t="s">
        <v>1554</v>
      </c>
      <c r="E59" s="881" t="s">
        <v>2646</v>
      </c>
      <c r="F59" s="1613" t="s">
        <v>2645</v>
      </c>
      <c r="G59" s="335" t="s">
        <v>461</v>
      </c>
      <c r="H59" s="336" t="s">
        <v>462</v>
      </c>
      <c r="I59" s="336" t="s">
        <v>1313</v>
      </c>
      <c r="J59" s="1769" t="s">
        <v>18</v>
      </c>
      <c r="K59" s="816"/>
      <c r="L59" s="353" t="s">
        <v>432</v>
      </c>
      <c r="M59" s="354" t="s">
        <v>1314</v>
      </c>
      <c r="N59" s="1612" t="s">
        <v>1553</v>
      </c>
      <c r="O59" s="881" t="s">
        <v>1554</v>
      </c>
      <c r="P59" s="881" t="s">
        <v>2646</v>
      </c>
      <c r="Q59" s="1613" t="s">
        <v>2645</v>
      </c>
      <c r="R59" s="335" t="s">
        <v>461</v>
      </c>
      <c r="S59" s="336" t="s">
        <v>462</v>
      </c>
      <c r="T59" s="336" t="s">
        <v>1313</v>
      </c>
      <c r="U59" s="1769" t="s">
        <v>18</v>
      </c>
      <c r="V59" s="798"/>
      <c r="W59" s="798"/>
    </row>
    <row r="60" spans="1:30">
      <c r="A60" s="162" t="s">
        <v>433</v>
      </c>
      <c r="B60" s="163">
        <f t="shared" ref="B60:J60" si="40">+B77-B65-B64-B63-B62</f>
        <v>-268532</v>
      </c>
      <c r="C60" s="1174">
        <f t="shared" si="40"/>
        <v>268531</v>
      </c>
      <c r="D60" s="1175">
        <f t="shared" ref="D60:E60" si="41">+D77-D65-D64-D63-D62</f>
        <v>3815</v>
      </c>
      <c r="E60" s="1175">
        <f t="shared" si="41"/>
        <v>3815</v>
      </c>
      <c r="F60" s="1614">
        <f t="shared" ref="F60:F66" si="42">IF(ISERROR(E60/D60),"-",E60/D60)</f>
        <v>1</v>
      </c>
      <c r="G60" s="164">
        <f t="shared" si="40"/>
        <v>264717</v>
      </c>
      <c r="H60" s="165">
        <f t="shared" si="40"/>
        <v>0</v>
      </c>
      <c r="I60" s="165">
        <f t="shared" si="40"/>
        <v>0</v>
      </c>
      <c r="J60" s="166">
        <f t="shared" si="40"/>
        <v>0</v>
      </c>
      <c r="K60" s="814"/>
      <c r="L60" s="162" t="s">
        <v>433</v>
      </c>
      <c r="M60" s="163">
        <f t="shared" ref="M60:U60" si="43">+M77-M65-M64-M63-M62</f>
        <v>-7944</v>
      </c>
      <c r="N60" s="1174">
        <f t="shared" si="43"/>
        <v>7204</v>
      </c>
      <c r="O60" s="1175">
        <f t="shared" ref="O60:P60" si="44">+O77-O65-O64-O63-O62</f>
        <v>7204</v>
      </c>
      <c r="P60" s="1175">
        <f t="shared" si="44"/>
        <v>7204</v>
      </c>
      <c r="Q60" s="1614">
        <f t="shared" ref="Q60:Q66" si="45">IF(ISERROR(P60/O60),"-",P60/O60)</f>
        <v>1</v>
      </c>
      <c r="R60" s="164">
        <f t="shared" si="43"/>
        <v>740</v>
      </c>
      <c r="S60" s="165">
        <f t="shared" si="43"/>
        <v>0</v>
      </c>
      <c r="T60" s="165">
        <f t="shared" si="43"/>
        <v>0</v>
      </c>
      <c r="U60" s="166">
        <f t="shared" si="43"/>
        <v>0</v>
      </c>
      <c r="V60" s="156"/>
      <c r="W60" s="156"/>
    </row>
    <row r="61" spans="1:30">
      <c r="A61" s="167" t="s">
        <v>434</v>
      </c>
      <c r="B61" s="168"/>
      <c r="C61" s="1176"/>
      <c r="D61" s="1177"/>
      <c r="E61" s="1177"/>
      <c r="F61" s="1615" t="str">
        <f t="shared" si="42"/>
        <v>-</v>
      </c>
      <c r="G61" s="169"/>
      <c r="H61" s="170"/>
      <c r="I61" s="170"/>
      <c r="J61" s="171">
        <f>+B61+IF(D61&lt;=E61,E61,D61)+G61+H61+I61</f>
        <v>0</v>
      </c>
      <c r="K61" s="814"/>
      <c r="L61" s="167" t="s">
        <v>434</v>
      </c>
      <c r="M61" s="168"/>
      <c r="N61" s="1176"/>
      <c r="O61" s="1177"/>
      <c r="P61" s="1177"/>
      <c r="Q61" s="1615" t="str">
        <f t="shared" si="45"/>
        <v>-</v>
      </c>
      <c r="R61" s="169"/>
      <c r="S61" s="170"/>
      <c r="T61" s="170"/>
      <c r="U61" s="171">
        <f>+M61+IF(O61&lt;=P61,P61,O61)+R61+S61+T61</f>
        <v>0</v>
      </c>
      <c r="V61" s="799"/>
      <c r="W61" s="799"/>
      <c r="X61" s="118"/>
      <c r="AB61" s="118"/>
    </row>
    <row r="62" spans="1:30">
      <c r="A62" s="172" t="s">
        <v>435</v>
      </c>
      <c r="B62" s="173">
        <v>289000</v>
      </c>
      <c r="C62" s="182"/>
      <c r="D62" s="1178"/>
      <c r="E62" s="1178"/>
      <c r="F62" s="1615" t="str">
        <f t="shared" si="42"/>
        <v>-</v>
      </c>
      <c r="G62" s="174"/>
      <c r="H62" s="175"/>
      <c r="I62" s="175"/>
      <c r="J62" s="176">
        <f t="shared" ref="J62:J65" si="46">+B62+IF(D62&lt;=E62,E62,D62)+G62+H62+I62</f>
        <v>289000</v>
      </c>
      <c r="K62" s="814"/>
      <c r="L62" s="172" t="s">
        <v>435</v>
      </c>
      <c r="M62" s="173">
        <v>147830</v>
      </c>
      <c r="N62" s="182"/>
      <c r="O62" s="1178"/>
      <c r="P62" s="1178"/>
      <c r="Q62" s="1615" t="str">
        <f t="shared" si="45"/>
        <v>-</v>
      </c>
      <c r="R62" s="174"/>
      <c r="S62" s="175"/>
      <c r="T62" s="175"/>
      <c r="U62" s="176">
        <f t="shared" ref="U62:U65" si="47">+M62+IF(O62&lt;=P62,P62,O62)+R62+S62+T62</f>
        <v>147830</v>
      </c>
      <c r="V62" s="156"/>
      <c r="W62" s="156"/>
      <c r="X62" s="118"/>
      <c r="Y62" s="118"/>
      <c r="Z62" s="118"/>
      <c r="AA62" s="118"/>
      <c r="AB62" s="118"/>
      <c r="AC62" s="118"/>
      <c r="AD62" s="118"/>
    </row>
    <row r="63" spans="1:30">
      <c r="A63" s="172" t="s">
        <v>436</v>
      </c>
      <c r="B63" s="173"/>
      <c r="C63" s="182"/>
      <c r="D63" s="1178"/>
      <c r="E63" s="1178"/>
      <c r="F63" s="1615" t="str">
        <f t="shared" si="42"/>
        <v>-</v>
      </c>
      <c r="G63" s="174"/>
      <c r="H63" s="175"/>
      <c r="I63" s="175"/>
      <c r="J63" s="176">
        <f t="shared" si="46"/>
        <v>0</v>
      </c>
      <c r="K63" s="814"/>
      <c r="L63" s="172" t="s">
        <v>436</v>
      </c>
      <c r="M63" s="173"/>
      <c r="N63" s="182"/>
      <c r="O63" s="1178"/>
      <c r="P63" s="1178"/>
      <c r="Q63" s="1615" t="str">
        <f t="shared" si="45"/>
        <v>-</v>
      </c>
      <c r="R63" s="174"/>
      <c r="S63" s="175"/>
      <c r="T63" s="175"/>
      <c r="U63" s="176">
        <f t="shared" si="47"/>
        <v>0</v>
      </c>
      <c r="V63" s="156"/>
      <c r="W63" s="156"/>
      <c r="X63" s="118"/>
      <c r="AB63" s="118"/>
    </row>
    <row r="64" spans="1:30">
      <c r="A64" s="172" t="s">
        <v>437</v>
      </c>
      <c r="B64" s="173"/>
      <c r="C64" s="182"/>
      <c r="D64" s="1178"/>
      <c r="E64" s="1178"/>
      <c r="F64" s="1615" t="str">
        <f t="shared" si="42"/>
        <v>-</v>
      </c>
      <c r="G64" s="174"/>
      <c r="H64" s="175"/>
      <c r="I64" s="175"/>
      <c r="J64" s="176">
        <f t="shared" si="46"/>
        <v>0</v>
      </c>
      <c r="K64" s="814"/>
      <c r="L64" s="172" t="s">
        <v>437</v>
      </c>
      <c r="M64" s="173"/>
      <c r="N64" s="182"/>
      <c r="O64" s="1178"/>
      <c r="P64" s="1178"/>
      <c r="Q64" s="1615" t="str">
        <f t="shared" si="45"/>
        <v>-</v>
      </c>
      <c r="R64" s="174"/>
      <c r="S64" s="175"/>
      <c r="T64" s="175"/>
      <c r="U64" s="176">
        <f t="shared" si="47"/>
        <v>0</v>
      </c>
      <c r="V64" s="156"/>
      <c r="W64" s="156"/>
      <c r="X64" s="118"/>
      <c r="AB64" s="118"/>
    </row>
    <row r="65" spans="1:30" ht="12.75" thickBot="1">
      <c r="A65" s="172" t="s">
        <v>438</v>
      </c>
      <c r="B65" s="173"/>
      <c r="C65" s="182"/>
      <c r="D65" s="1178"/>
      <c r="E65" s="1178"/>
      <c r="F65" s="1615" t="str">
        <f t="shared" si="42"/>
        <v>-</v>
      </c>
      <c r="G65" s="174"/>
      <c r="H65" s="175"/>
      <c r="I65" s="175"/>
      <c r="J65" s="176">
        <f t="shared" si="46"/>
        <v>0</v>
      </c>
      <c r="K65" s="814"/>
      <c r="L65" s="172" t="s">
        <v>438</v>
      </c>
      <c r="M65" s="173"/>
      <c r="N65" s="182"/>
      <c r="O65" s="1178"/>
      <c r="P65" s="1178"/>
      <c r="Q65" s="1615" t="str">
        <f t="shared" si="45"/>
        <v>-</v>
      </c>
      <c r="R65" s="174"/>
      <c r="S65" s="175"/>
      <c r="T65" s="175"/>
      <c r="U65" s="176">
        <f t="shared" si="47"/>
        <v>0</v>
      </c>
      <c r="V65" s="156"/>
      <c r="W65" s="156"/>
      <c r="X65" s="118"/>
      <c r="AB65" s="118"/>
    </row>
    <row r="66" spans="1:30" ht="12.75" thickBot="1">
      <c r="A66" s="155" t="s">
        <v>439</v>
      </c>
      <c r="B66" s="177">
        <f t="shared" ref="B66:J66" si="48">+B60+B62+B63+B64+B65</f>
        <v>20468</v>
      </c>
      <c r="C66" s="155">
        <f t="shared" si="48"/>
        <v>268531</v>
      </c>
      <c r="D66" s="1180">
        <f t="shared" ref="D66:E66" si="49">+D60+D62+D63+D64+D65</f>
        <v>3815</v>
      </c>
      <c r="E66" s="1180">
        <f t="shared" si="49"/>
        <v>3815</v>
      </c>
      <c r="F66" s="1616">
        <f t="shared" si="42"/>
        <v>1</v>
      </c>
      <c r="G66" s="179">
        <f t="shared" si="48"/>
        <v>264717</v>
      </c>
      <c r="H66" s="177">
        <f t="shared" si="48"/>
        <v>0</v>
      </c>
      <c r="I66" s="177">
        <f t="shared" si="48"/>
        <v>0</v>
      </c>
      <c r="J66" s="178">
        <f t="shared" si="48"/>
        <v>289000</v>
      </c>
      <c r="K66" s="814"/>
      <c r="L66" s="155" t="s">
        <v>439</v>
      </c>
      <c r="M66" s="177">
        <f t="shared" ref="M66:U66" si="50">+M60+M62+M63+M64+M65</f>
        <v>139886</v>
      </c>
      <c r="N66" s="155">
        <f t="shared" si="50"/>
        <v>7204</v>
      </c>
      <c r="O66" s="1180">
        <f t="shared" ref="O66:P66" si="51">+O60+O62+O63+O64+O65</f>
        <v>7204</v>
      </c>
      <c r="P66" s="1180">
        <f t="shared" si="51"/>
        <v>7204</v>
      </c>
      <c r="Q66" s="1616">
        <f t="shared" si="45"/>
        <v>1</v>
      </c>
      <c r="R66" s="179">
        <f t="shared" si="50"/>
        <v>740</v>
      </c>
      <c r="S66" s="177">
        <f t="shared" si="50"/>
        <v>0</v>
      </c>
      <c r="T66" s="177">
        <f t="shared" si="50"/>
        <v>0</v>
      </c>
      <c r="U66" s="178">
        <f t="shared" si="50"/>
        <v>147830</v>
      </c>
      <c r="V66" s="156"/>
      <c r="W66" s="156"/>
    </row>
    <row r="67" spans="1:30" ht="12.75" thickBot="1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814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</row>
    <row r="68" spans="1:30" s="813" customFormat="1" ht="36.75" thickBot="1">
      <c r="A68" s="353" t="s">
        <v>440</v>
      </c>
      <c r="B68" s="354" t="s">
        <v>1314</v>
      </c>
      <c r="C68" s="1612" t="s">
        <v>1553</v>
      </c>
      <c r="D68" s="881" t="s">
        <v>1554</v>
      </c>
      <c r="E68" s="881" t="s">
        <v>2646</v>
      </c>
      <c r="F68" s="1613" t="s">
        <v>2645</v>
      </c>
      <c r="G68" s="335" t="s">
        <v>461</v>
      </c>
      <c r="H68" s="336" t="s">
        <v>462</v>
      </c>
      <c r="I68" s="336" t="s">
        <v>1313</v>
      </c>
      <c r="J68" s="1769" t="s">
        <v>18</v>
      </c>
      <c r="K68" s="816"/>
      <c r="L68" s="353" t="s">
        <v>440</v>
      </c>
      <c r="M68" s="354" t="s">
        <v>1314</v>
      </c>
      <c r="N68" s="1612" t="s">
        <v>1553</v>
      </c>
      <c r="O68" s="881" t="s">
        <v>1554</v>
      </c>
      <c r="P68" s="881" t="s">
        <v>2646</v>
      </c>
      <c r="Q68" s="1613" t="s">
        <v>2645</v>
      </c>
      <c r="R68" s="335" t="s">
        <v>461</v>
      </c>
      <c r="S68" s="336" t="s">
        <v>462</v>
      </c>
      <c r="T68" s="336" t="s">
        <v>1313</v>
      </c>
      <c r="U68" s="1769" t="s">
        <v>18</v>
      </c>
      <c r="V68" s="798"/>
      <c r="W68" s="798"/>
    </row>
    <row r="69" spans="1:30">
      <c r="A69" s="162" t="s">
        <v>446</v>
      </c>
      <c r="B69" s="163"/>
      <c r="C69" s="1174"/>
      <c r="D69" s="1175"/>
      <c r="E69" s="1175"/>
      <c r="F69" s="1614" t="str">
        <f t="shared" ref="F69:F77" si="52">IF(ISERROR(E69/D69),"-",E69/D69)</f>
        <v>-</v>
      </c>
      <c r="G69" s="164"/>
      <c r="H69" s="165"/>
      <c r="I69" s="165"/>
      <c r="J69" s="166">
        <f>+B69+IF(D69&lt;=E69,E69,D69)+G69+H69+I69</f>
        <v>0</v>
      </c>
      <c r="K69" s="814"/>
      <c r="L69" s="162" t="s">
        <v>446</v>
      </c>
      <c r="M69" s="163"/>
      <c r="N69" s="1174"/>
      <c r="O69" s="1175"/>
      <c r="P69" s="1175"/>
      <c r="Q69" s="1614" t="str">
        <f t="shared" ref="Q69:Q77" si="53">IF(ISERROR(P69/O69),"-",P69/O69)</f>
        <v>-</v>
      </c>
      <c r="R69" s="164"/>
      <c r="S69" s="165"/>
      <c r="T69" s="165"/>
      <c r="U69" s="166">
        <f>+M69+IF(O69&lt;=P69,P69,O69)+R69+S69+T69</f>
        <v>0</v>
      </c>
      <c r="V69" s="156"/>
      <c r="W69" s="156"/>
      <c r="X69" s="118"/>
      <c r="Y69" s="118"/>
      <c r="Z69" s="118"/>
      <c r="AA69" s="118"/>
      <c r="AB69" s="118"/>
      <c r="AC69" s="118"/>
      <c r="AD69" s="118"/>
    </row>
    <row r="70" spans="1:30">
      <c r="A70" s="181" t="s">
        <v>447</v>
      </c>
      <c r="B70" s="173"/>
      <c r="C70" s="182"/>
      <c r="D70" s="1178"/>
      <c r="E70" s="1178"/>
      <c r="F70" s="1615" t="str">
        <f t="shared" si="52"/>
        <v>-</v>
      </c>
      <c r="G70" s="174"/>
      <c r="H70" s="175"/>
      <c r="I70" s="175"/>
      <c r="J70" s="176">
        <f t="shared" ref="J70:J76" si="54">+B70+IF(D70&lt;=E70,E70,D70)+G70+H70+I70</f>
        <v>0</v>
      </c>
      <c r="K70" s="814"/>
      <c r="L70" s="181" t="s">
        <v>447</v>
      </c>
      <c r="M70" s="173"/>
      <c r="N70" s="182"/>
      <c r="O70" s="1178"/>
      <c r="P70" s="1178"/>
      <c r="Q70" s="1615" t="str">
        <f t="shared" si="53"/>
        <v>-</v>
      </c>
      <c r="R70" s="174"/>
      <c r="S70" s="175"/>
      <c r="T70" s="175"/>
      <c r="U70" s="176">
        <f t="shared" ref="U70:U76" si="55">+M70+IF(O70&lt;=P70,P70,O70)+R70+S70+T70</f>
        <v>0</v>
      </c>
      <c r="V70" s="156"/>
      <c r="W70" s="156"/>
      <c r="X70" s="118"/>
      <c r="Y70" s="118"/>
      <c r="Z70" s="118"/>
      <c r="AA70" s="118"/>
      <c r="AB70" s="118"/>
      <c r="AC70" s="118"/>
      <c r="AD70" s="118"/>
    </row>
    <row r="71" spans="1:30">
      <c r="A71" s="172" t="s">
        <v>448</v>
      </c>
      <c r="B71" s="173">
        <v>11800</v>
      </c>
      <c r="C71" s="182"/>
      <c r="D71" s="1178">
        <v>3815</v>
      </c>
      <c r="E71" s="1178">
        <v>3815</v>
      </c>
      <c r="F71" s="1615">
        <f t="shared" si="52"/>
        <v>1</v>
      </c>
      <c r="G71" s="174"/>
      <c r="H71" s="175"/>
      <c r="I71" s="175"/>
      <c r="J71" s="176">
        <f t="shared" si="54"/>
        <v>15615</v>
      </c>
      <c r="K71" s="814"/>
      <c r="L71" s="172" t="s">
        <v>448</v>
      </c>
      <c r="M71" s="173">
        <v>7022</v>
      </c>
      <c r="N71" s="182"/>
      <c r="O71" s="1178">
        <v>489</v>
      </c>
      <c r="P71" s="1178">
        <v>489</v>
      </c>
      <c r="Q71" s="1615">
        <f t="shared" si="53"/>
        <v>1</v>
      </c>
      <c r="R71" s="174"/>
      <c r="S71" s="175"/>
      <c r="T71" s="175"/>
      <c r="U71" s="176">
        <f t="shared" si="55"/>
        <v>7511</v>
      </c>
      <c r="V71" s="156"/>
      <c r="W71" s="156"/>
      <c r="X71" s="118"/>
      <c r="Y71" s="118"/>
      <c r="Z71" s="118"/>
      <c r="AA71" s="118"/>
      <c r="AB71" s="118"/>
      <c r="AC71" s="118"/>
      <c r="AD71" s="118"/>
    </row>
    <row r="72" spans="1:30">
      <c r="A72" s="172" t="s">
        <v>449</v>
      </c>
      <c r="B72" s="173"/>
      <c r="C72" s="182"/>
      <c r="D72" s="1178"/>
      <c r="E72" s="1178"/>
      <c r="F72" s="1615" t="str">
        <f t="shared" si="52"/>
        <v>-</v>
      </c>
      <c r="G72" s="174"/>
      <c r="H72" s="175"/>
      <c r="I72" s="175"/>
      <c r="J72" s="176">
        <f t="shared" si="54"/>
        <v>0</v>
      </c>
      <c r="K72" s="814"/>
      <c r="L72" s="172" t="s">
        <v>449</v>
      </c>
      <c r="M72" s="173"/>
      <c r="N72" s="182"/>
      <c r="O72" s="1178"/>
      <c r="P72" s="1178"/>
      <c r="Q72" s="1615" t="str">
        <f t="shared" si="53"/>
        <v>-</v>
      </c>
      <c r="R72" s="174"/>
      <c r="S72" s="175"/>
      <c r="T72" s="175"/>
      <c r="U72" s="176">
        <f t="shared" si="55"/>
        <v>0</v>
      </c>
      <c r="V72" s="156"/>
      <c r="W72" s="156"/>
      <c r="X72" s="118"/>
      <c r="Z72" s="118"/>
      <c r="AA72" s="118"/>
      <c r="AB72" s="118"/>
      <c r="AD72" s="118"/>
    </row>
    <row r="73" spans="1:30">
      <c r="A73" s="182" t="s">
        <v>450</v>
      </c>
      <c r="B73" s="183"/>
      <c r="C73" s="182">
        <v>268531</v>
      </c>
      <c r="D73" s="1178">
        <v>0</v>
      </c>
      <c r="E73" s="1178"/>
      <c r="F73" s="1615" t="str">
        <f t="shared" si="52"/>
        <v>-</v>
      </c>
      <c r="G73" s="174">
        <v>264717</v>
      </c>
      <c r="H73" s="175"/>
      <c r="I73" s="175"/>
      <c r="J73" s="176">
        <f t="shared" si="54"/>
        <v>264717</v>
      </c>
      <c r="K73" s="814"/>
      <c r="L73" s="182" t="s">
        <v>450</v>
      </c>
      <c r="M73" s="183"/>
      <c r="N73" s="182">
        <v>7204</v>
      </c>
      <c r="O73" s="1178">
        <v>19</v>
      </c>
      <c r="P73" s="1178">
        <v>19</v>
      </c>
      <c r="Q73" s="1615">
        <f t="shared" si="53"/>
        <v>1</v>
      </c>
      <c r="R73" s="174">
        <v>740</v>
      </c>
      <c r="S73" s="175"/>
      <c r="T73" s="175"/>
      <c r="U73" s="176">
        <f t="shared" si="55"/>
        <v>759</v>
      </c>
      <c r="V73" s="156"/>
      <c r="W73" s="156"/>
      <c r="X73" s="118"/>
      <c r="Y73" s="118"/>
      <c r="Z73" s="118"/>
      <c r="AA73" s="118"/>
      <c r="AB73" s="118"/>
      <c r="AC73" s="118"/>
      <c r="AD73" s="118"/>
    </row>
    <row r="74" spans="1:30">
      <c r="A74" s="182" t="s">
        <v>451</v>
      </c>
      <c r="B74" s="183"/>
      <c r="C74" s="182"/>
      <c r="D74" s="1178"/>
      <c r="E74" s="1178"/>
      <c r="F74" s="1615" t="str">
        <f t="shared" si="52"/>
        <v>-</v>
      </c>
      <c r="G74" s="174"/>
      <c r="H74" s="175"/>
      <c r="I74" s="175"/>
      <c r="J74" s="176">
        <f t="shared" si="54"/>
        <v>0</v>
      </c>
      <c r="K74" s="814"/>
      <c r="L74" s="182" t="s">
        <v>451</v>
      </c>
      <c r="M74" s="183"/>
      <c r="N74" s="182"/>
      <c r="O74" s="1178">
        <v>6696</v>
      </c>
      <c r="P74" s="1178">
        <v>6696</v>
      </c>
      <c r="Q74" s="1615">
        <f t="shared" si="53"/>
        <v>1</v>
      </c>
      <c r="R74" s="174"/>
      <c r="S74" s="175"/>
      <c r="T74" s="175"/>
      <c r="U74" s="176">
        <f t="shared" si="55"/>
        <v>6696</v>
      </c>
      <c r="V74" s="156"/>
      <c r="W74" s="156"/>
      <c r="X74" s="118"/>
      <c r="Y74" s="118"/>
      <c r="Z74" s="118"/>
      <c r="AA74" s="118"/>
      <c r="AB74" s="118"/>
      <c r="AC74" s="118"/>
      <c r="AD74" s="118"/>
    </row>
    <row r="75" spans="1:30">
      <c r="A75" s="184" t="s">
        <v>452</v>
      </c>
      <c r="B75" s="185">
        <v>8668</v>
      </c>
      <c r="C75" s="184"/>
      <c r="D75" s="1181"/>
      <c r="E75" s="1181"/>
      <c r="F75" s="1617" t="str">
        <f t="shared" si="52"/>
        <v>-</v>
      </c>
      <c r="G75" s="186"/>
      <c r="H75" s="187"/>
      <c r="I75" s="187"/>
      <c r="J75" s="176">
        <f t="shared" si="54"/>
        <v>8668</v>
      </c>
      <c r="K75" s="814"/>
      <c r="L75" s="184" t="s">
        <v>452</v>
      </c>
      <c r="M75" s="185">
        <v>132864</v>
      </c>
      <c r="N75" s="184"/>
      <c r="O75" s="1181"/>
      <c r="P75" s="1181"/>
      <c r="Q75" s="1617" t="str">
        <f t="shared" si="53"/>
        <v>-</v>
      </c>
      <c r="R75" s="186"/>
      <c r="S75" s="187"/>
      <c r="T75" s="187"/>
      <c r="U75" s="176">
        <f t="shared" si="55"/>
        <v>132864</v>
      </c>
      <c r="V75" s="156"/>
      <c r="W75" s="156"/>
      <c r="X75" s="118"/>
      <c r="Y75" s="118"/>
      <c r="Z75" s="118"/>
      <c r="AA75" s="118"/>
      <c r="AB75" s="118"/>
      <c r="AC75" s="118"/>
      <c r="AD75" s="118"/>
    </row>
    <row r="76" spans="1:30" ht="12.75" thickBot="1">
      <c r="A76" s="184" t="s">
        <v>453</v>
      </c>
      <c r="B76" s="185"/>
      <c r="C76" s="184"/>
      <c r="D76" s="1181"/>
      <c r="E76" s="1181"/>
      <c r="F76" s="1617" t="str">
        <f t="shared" si="52"/>
        <v>-</v>
      </c>
      <c r="G76" s="186"/>
      <c r="H76" s="187"/>
      <c r="I76" s="187"/>
      <c r="J76" s="176">
        <f t="shared" si="54"/>
        <v>0</v>
      </c>
      <c r="K76" s="814"/>
      <c r="L76" s="184" t="s">
        <v>453</v>
      </c>
      <c r="M76" s="185"/>
      <c r="N76" s="184"/>
      <c r="O76" s="1181"/>
      <c r="P76" s="1181"/>
      <c r="Q76" s="1617" t="str">
        <f t="shared" si="53"/>
        <v>-</v>
      </c>
      <c r="R76" s="186"/>
      <c r="S76" s="187"/>
      <c r="T76" s="187"/>
      <c r="U76" s="176">
        <f t="shared" si="55"/>
        <v>0</v>
      </c>
      <c r="V76" s="156"/>
      <c r="W76" s="156"/>
      <c r="X76" s="118"/>
      <c r="Y76" s="118"/>
      <c r="Z76" s="118"/>
      <c r="AA76" s="118"/>
      <c r="AB76" s="118"/>
      <c r="AC76" s="118"/>
      <c r="AD76" s="118"/>
    </row>
    <row r="77" spans="1:30" ht="12.75" thickBot="1">
      <c r="A77" s="155" t="s">
        <v>454</v>
      </c>
      <c r="B77" s="177">
        <f t="shared" ref="B77:J77" si="56">+B69+B70+B71+B72+B73+B74+B75+B76</f>
        <v>20468</v>
      </c>
      <c r="C77" s="155">
        <f t="shared" si="56"/>
        <v>268531</v>
      </c>
      <c r="D77" s="1180">
        <f t="shared" ref="D77:E77" si="57">+D69+D70+D71+D72+D73+D74+D75+D76</f>
        <v>3815</v>
      </c>
      <c r="E77" s="1180">
        <f t="shared" si="57"/>
        <v>3815</v>
      </c>
      <c r="F77" s="1616">
        <f t="shared" si="52"/>
        <v>1</v>
      </c>
      <c r="G77" s="179">
        <f t="shared" si="56"/>
        <v>264717</v>
      </c>
      <c r="H77" s="177">
        <f t="shared" si="56"/>
        <v>0</v>
      </c>
      <c r="I77" s="177">
        <f t="shared" si="56"/>
        <v>0</v>
      </c>
      <c r="J77" s="178">
        <f t="shared" si="56"/>
        <v>289000</v>
      </c>
      <c r="L77" s="155" t="s">
        <v>454</v>
      </c>
      <c r="M77" s="177">
        <f t="shared" ref="M77:U77" si="58">+M69+M70+M71+M72+M73+M74+M75+M76</f>
        <v>139886</v>
      </c>
      <c r="N77" s="155">
        <f t="shared" si="58"/>
        <v>7204</v>
      </c>
      <c r="O77" s="1180">
        <f t="shared" ref="O77:P77" si="59">+O69+O70+O71+O72+O73+O74+O75+O76</f>
        <v>7204</v>
      </c>
      <c r="P77" s="1180">
        <f t="shared" si="59"/>
        <v>7204</v>
      </c>
      <c r="Q77" s="1616">
        <f t="shared" si="53"/>
        <v>1</v>
      </c>
      <c r="R77" s="179">
        <f t="shared" si="58"/>
        <v>740</v>
      </c>
      <c r="S77" s="177">
        <f t="shared" si="58"/>
        <v>0</v>
      </c>
      <c r="T77" s="177">
        <f t="shared" si="58"/>
        <v>0</v>
      </c>
      <c r="U77" s="178">
        <f t="shared" si="58"/>
        <v>147830</v>
      </c>
      <c r="V77" s="156"/>
      <c r="W77" s="156"/>
      <c r="Y77" s="814"/>
      <c r="AC77" s="814"/>
    </row>
    <row r="78" spans="1:30">
      <c r="A78" s="156"/>
      <c r="B78" s="156"/>
      <c r="C78" s="156"/>
      <c r="D78" s="156"/>
      <c r="E78" s="156"/>
      <c r="F78" s="156"/>
      <c r="G78" s="156"/>
      <c r="H78" s="156"/>
      <c r="I78" s="156"/>
      <c r="J78" s="156"/>
      <c r="K78" s="814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</row>
    <row r="79" spans="1:30">
      <c r="A79" s="156"/>
      <c r="B79" s="156"/>
      <c r="C79" s="156"/>
      <c r="D79" s="156"/>
      <c r="E79" s="156"/>
      <c r="F79" s="156"/>
      <c r="G79" s="156"/>
      <c r="H79" s="156"/>
      <c r="I79" s="156"/>
      <c r="J79" s="156"/>
      <c r="K79" s="814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</row>
    <row r="80" spans="1:30" s="807" customFormat="1" ht="15.75">
      <c r="A80" s="154" t="s">
        <v>1215</v>
      </c>
      <c r="B80" s="1821" t="s">
        <v>1218</v>
      </c>
      <c r="C80" s="1821"/>
      <c r="D80" s="1821"/>
      <c r="E80" s="1821"/>
      <c r="F80" s="1821"/>
      <c r="G80" s="1821"/>
      <c r="H80" s="1821"/>
      <c r="I80" s="1821"/>
      <c r="J80" s="1821"/>
      <c r="K80" s="719"/>
      <c r="L80" s="154" t="s">
        <v>1217</v>
      </c>
      <c r="M80" s="1821" t="s">
        <v>1222</v>
      </c>
      <c r="N80" s="1821"/>
      <c r="O80" s="1821"/>
      <c r="P80" s="1821"/>
      <c r="Q80" s="1821"/>
      <c r="R80" s="1821"/>
      <c r="S80" s="1821"/>
      <c r="T80" s="1821"/>
      <c r="U80" s="1821"/>
      <c r="V80" s="1767"/>
      <c r="W80" s="1767"/>
    </row>
    <row r="81" spans="1:30" s="807" customFormat="1" ht="15.75" customHeight="1">
      <c r="A81" s="1819" t="s">
        <v>1220</v>
      </c>
      <c r="B81" s="1819"/>
      <c r="C81" s="1819"/>
      <c r="D81" s="1819"/>
      <c r="E81" s="1819"/>
      <c r="F81" s="1819"/>
      <c r="G81" s="1819"/>
      <c r="H81" s="1819"/>
      <c r="I81" s="1819"/>
      <c r="J81" s="1819"/>
      <c r="K81" s="719"/>
      <c r="L81" s="1819" t="s">
        <v>1225</v>
      </c>
      <c r="M81" s="1819"/>
      <c r="N81" s="1819"/>
      <c r="O81" s="1819"/>
      <c r="P81" s="1819"/>
      <c r="Q81" s="1819"/>
      <c r="R81" s="1819"/>
      <c r="S81" s="1819"/>
      <c r="T81" s="1819"/>
      <c r="U81" s="1819"/>
      <c r="V81" s="1766"/>
      <c r="W81" s="1766"/>
    </row>
    <row r="82" spans="1:30" s="807" customFormat="1" ht="15.75">
      <c r="A82" s="1818" t="s">
        <v>1120</v>
      </c>
      <c r="B82" s="1818"/>
      <c r="C82" s="1818"/>
      <c r="D82" s="1818"/>
      <c r="E82" s="1818"/>
      <c r="F82" s="1818"/>
      <c r="G82" s="1818"/>
      <c r="H82" s="1818"/>
      <c r="I82" s="1818"/>
      <c r="J82" s="1818"/>
      <c r="K82" s="719"/>
      <c r="L82" s="1818" t="s">
        <v>1120</v>
      </c>
      <c r="M82" s="1818"/>
      <c r="N82" s="1818"/>
      <c r="O82" s="1818"/>
      <c r="P82" s="1818"/>
      <c r="Q82" s="1818"/>
      <c r="R82" s="1818"/>
      <c r="S82" s="1818"/>
      <c r="T82" s="1818"/>
      <c r="U82" s="1818"/>
      <c r="V82" s="1765"/>
      <c r="W82" s="1765"/>
    </row>
    <row r="83" spans="1:30" s="810" customFormat="1" ht="12.75" thickBot="1">
      <c r="A83" s="809"/>
      <c r="B83" s="809"/>
      <c r="G83" s="809"/>
      <c r="H83" s="809"/>
      <c r="J83" s="199" t="s">
        <v>281</v>
      </c>
      <c r="K83" s="811"/>
      <c r="L83" s="809"/>
      <c r="M83" s="809"/>
      <c r="N83" s="809"/>
      <c r="O83" s="809"/>
      <c r="P83" s="809"/>
      <c r="Q83" s="809"/>
      <c r="R83" s="809"/>
      <c r="S83" s="809"/>
      <c r="U83" s="199" t="s">
        <v>281</v>
      </c>
      <c r="V83" s="797"/>
      <c r="W83" s="797"/>
    </row>
    <row r="84" spans="1:30" s="813" customFormat="1" ht="36.75" thickBot="1">
      <c r="A84" s="353" t="s">
        <v>432</v>
      </c>
      <c r="B84" s="354" t="s">
        <v>1314</v>
      </c>
      <c r="C84" s="1612" t="s">
        <v>1553</v>
      </c>
      <c r="D84" s="881" t="s">
        <v>1554</v>
      </c>
      <c r="E84" s="881" t="s">
        <v>2646</v>
      </c>
      <c r="F84" s="1613" t="s">
        <v>2645</v>
      </c>
      <c r="G84" s="335" t="s">
        <v>461</v>
      </c>
      <c r="H84" s="336" t="s">
        <v>462</v>
      </c>
      <c r="I84" s="336" t="s">
        <v>1313</v>
      </c>
      <c r="J84" s="1769" t="s">
        <v>18</v>
      </c>
      <c r="K84" s="816"/>
      <c r="L84" s="353" t="s">
        <v>432</v>
      </c>
      <c r="M84" s="354" t="s">
        <v>1314</v>
      </c>
      <c r="N84" s="1612" t="s">
        <v>1553</v>
      </c>
      <c r="O84" s="881" t="s">
        <v>1554</v>
      </c>
      <c r="P84" s="881" t="s">
        <v>2646</v>
      </c>
      <c r="Q84" s="1613" t="s">
        <v>2645</v>
      </c>
      <c r="R84" s="335" t="s">
        <v>461</v>
      </c>
      <c r="S84" s="336" t="s">
        <v>462</v>
      </c>
      <c r="T84" s="336" t="s">
        <v>1313</v>
      </c>
      <c r="U84" s="1769" t="s">
        <v>18</v>
      </c>
      <c r="V84" s="798"/>
      <c r="W84" s="798"/>
    </row>
    <row r="85" spans="1:30">
      <c r="A85" s="162" t="s">
        <v>433</v>
      </c>
      <c r="B85" s="163">
        <f t="shared" ref="B85:J85" si="60">+B102-B90-B89-B88-B87</f>
        <v>-141141</v>
      </c>
      <c r="C85" s="1174">
        <f t="shared" si="60"/>
        <v>137000</v>
      </c>
      <c r="D85" s="1175">
        <f t="shared" ref="D85:E85" si="61">+D102-D90-D89-D88-D87</f>
        <v>5556</v>
      </c>
      <c r="E85" s="1175">
        <f t="shared" si="61"/>
        <v>5556</v>
      </c>
      <c r="F85" s="1614">
        <f t="shared" ref="F85:F91" si="62">IF(ISERROR(E85/D85),"-",E85/D85)</f>
        <v>1</v>
      </c>
      <c r="G85" s="164">
        <f t="shared" si="60"/>
        <v>135585</v>
      </c>
      <c r="H85" s="165">
        <f t="shared" si="60"/>
        <v>0</v>
      </c>
      <c r="I85" s="165">
        <f t="shared" si="60"/>
        <v>0</v>
      </c>
      <c r="J85" s="166">
        <f t="shared" si="60"/>
        <v>0</v>
      </c>
      <c r="K85" s="814"/>
      <c r="L85" s="162" t="s">
        <v>433</v>
      </c>
      <c r="M85" s="163">
        <f t="shared" ref="M85:U85" si="63">+M102-M90-M89-M88-M87</f>
        <v>-404</v>
      </c>
      <c r="N85" s="1174">
        <f t="shared" si="63"/>
        <v>404</v>
      </c>
      <c r="O85" s="1175">
        <f t="shared" ref="O85:P85" si="64">+O102-O90-O89-O88-O87</f>
        <v>579</v>
      </c>
      <c r="P85" s="1175">
        <f t="shared" si="64"/>
        <v>579</v>
      </c>
      <c r="Q85" s="1614">
        <f t="shared" ref="Q85:Q91" si="65">IF(ISERROR(P85/O85),"-",P85/O85)</f>
        <v>1</v>
      </c>
      <c r="R85" s="164">
        <f t="shared" si="63"/>
        <v>0</v>
      </c>
      <c r="S85" s="165">
        <f t="shared" si="63"/>
        <v>0</v>
      </c>
      <c r="T85" s="165">
        <f t="shared" si="63"/>
        <v>0</v>
      </c>
      <c r="U85" s="166">
        <f t="shared" si="63"/>
        <v>175</v>
      </c>
      <c r="V85" s="156"/>
      <c r="W85" s="156"/>
    </row>
    <row r="86" spans="1:30">
      <c r="A86" s="167" t="s">
        <v>434</v>
      </c>
      <c r="B86" s="168"/>
      <c r="C86" s="1176"/>
      <c r="D86" s="1177"/>
      <c r="E86" s="1177"/>
      <c r="F86" s="1615" t="str">
        <f t="shared" si="62"/>
        <v>-</v>
      </c>
      <c r="G86" s="169"/>
      <c r="H86" s="170"/>
      <c r="I86" s="170"/>
      <c r="J86" s="171">
        <f>+B86+IF(D86&lt;=E86,E86,D86)+G86+H86+I86</f>
        <v>0</v>
      </c>
      <c r="K86" s="814"/>
      <c r="L86" s="167" t="s">
        <v>434</v>
      </c>
      <c r="M86" s="168"/>
      <c r="N86" s="1176"/>
      <c r="O86" s="1177"/>
      <c r="P86" s="1177"/>
      <c r="Q86" s="1615" t="str">
        <f t="shared" si="65"/>
        <v>-</v>
      </c>
      <c r="R86" s="169"/>
      <c r="S86" s="170"/>
      <c r="T86" s="170"/>
      <c r="U86" s="171">
        <f>+M86+IF(O86&lt;=P86,P86,O86)+R86+S86+T86</f>
        <v>0</v>
      </c>
      <c r="V86" s="799"/>
      <c r="W86" s="799"/>
      <c r="X86" s="118"/>
      <c r="AB86" s="118"/>
    </row>
    <row r="87" spans="1:30">
      <c r="A87" s="172" t="s">
        <v>435</v>
      </c>
      <c r="B87" s="173">
        <v>470000</v>
      </c>
      <c r="C87" s="182"/>
      <c r="D87" s="1178"/>
      <c r="E87" s="1178"/>
      <c r="F87" s="1615" t="str">
        <f t="shared" si="62"/>
        <v>-</v>
      </c>
      <c r="G87" s="174"/>
      <c r="H87" s="175"/>
      <c r="I87" s="175"/>
      <c r="J87" s="176">
        <f t="shared" ref="J87:J90" si="66">+B87+IF(D87&lt;=E87,E87,D87)+G87+H87+I87</f>
        <v>470000</v>
      </c>
      <c r="K87" s="814"/>
      <c r="L87" s="172" t="s">
        <v>435</v>
      </c>
      <c r="M87" s="173">
        <v>37447</v>
      </c>
      <c r="N87" s="182"/>
      <c r="O87" s="1178"/>
      <c r="P87" s="1178"/>
      <c r="Q87" s="1615" t="str">
        <f t="shared" si="65"/>
        <v>-</v>
      </c>
      <c r="R87" s="174"/>
      <c r="S87" s="175"/>
      <c r="T87" s="175"/>
      <c r="U87" s="176">
        <f t="shared" ref="U87:U90" si="67">+M87+IF(O87&lt;=P87,P87,O87)+R87+S87+T87</f>
        <v>37447</v>
      </c>
      <c r="V87" s="156"/>
      <c r="W87" s="156"/>
      <c r="X87" s="118"/>
      <c r="Y87" s="118"/>
      <c r="Z87" s="118"/>
      <c r="AA87" s="118"/>
      <c r="AB87" s="118"/>
      <c r="AC87" s="118"/>
      <c r="AD87" s="118"/>
    </row>
    <row r="88" spans="1:30">
      <c r="A88" s="172" t="s">
        <v>436</v>
      </c>
      <c r="B88" s="173"/>
      <c r="C88" s="182"/>
      <c r="D88" s="1178"/>
      <c r="E88" s="1178"/>
      <c r="F88" s="1615" t="str">
        <f t="shared" si="62"/>
        <v>-</v>
      </c>
      <c r="G88" s="174"/>
      <c r="H88" s="175"/>
      <c r="I88" s="175"/>
      <c r="J88" s="176">
        <f t="shared" si="66"/>
        <v>0</v>
      </c>
      <c r="K88" s="814"/>
      <c r="L88" s="172" t="s">
        <v>436</v>
      </c>
      <c r="M88" s="173"/>
      <c r="N88" s="182"/>
      <c r="O88" s="1178"/>
      <c r="P88" s="1178"/>
      <c r="Q88" s="1615" t="str">
        <f t="shared" si="65"/>
        <v>-</v>
      </c>
      <c r="R88" s="174"/>
      <c r="S88" s="175"/>
      <c r="T88" s="175"/>
      <c r="U88" s="176">
        <f t="shared" si="67"/>
        <v>0</v>
      </c>
      <c r="V88" s="156"/>
      <c r="W88" s="156"/>
      <c r="X88" s="118"/>
      <c r="AB88" s="118"/>
    </row>
    <row r="89" spans="1:30">
      <c r="A89" s="172" t="s">
        <v>437</v>
      </c>
      <c r="B89" s="173"/>
      <c r="C89" s="182"/>
      <c r="D89" s="1178"/>
      <c r="E89" s="1178"/>
      <c r="F89" s="1615" t="str">
        <f t="shared" si="62"/>
        <v>-</v>
      </c>
      <c r="G89" s="174"/>
      <c r="H89" s="175"/>
      <c r="I89" s="175"/>
      <c r="J89" s="176">
        <f t="shared" si="66"/>
        <v>0</v>
      </c>
      <c r="K89" s="814"/>
      <c r="L89" s="172" t="s">
        <v>437</v>
      </c>
      <c r="M89" s="173"/>
      <c r="N89" s="182"/>
      <c r="O89" s="1178"/>
      <c r="P89" s="1178"/>
      <c r="Q89" s="1615" t="str">
        <f t="shared" si="65"/>
        <v>-</v>
      </c>
      <c r="R89" s="174"/>
      <c r="S89" s="175"/>
      <c r="T89" s="175"/>
      <c r="U89" s="176">
        <f t="shared" si="67"/>
        <v>0</v>
      </c>
      <c r="V89" s="156"/>
      <c r="W89" s="156"/>
      <c r="X89" s="118"/>
      <c r="AB89" s="118"/>
    </row>
    <row r="90" spans="1:30" ht="12.75" thickBot="1">
      <c r="A90" s="172" t="s">
        <v>438</v>
      </c>
      <c r="B90" s="173"/>
      <c r="C90" s="182"/>
      <c r="D90" s="1178"/>
      <c r="E90" s="1178"/>
      <c r="F90" s="1615" t="str">
        <f t="shared" si="62"/>
        <v>-</v>
      </c>
      <c r="G90" s="174"/>
      <c r="H90" s="175"/>
      <c r="I90" s="175"/>
      <c r="J90" s="176">
        <f t="shared" si="66"/>
        <v>0</v>
      </c>
      <c r="K90" s="814"/>
      <c r="L90" s="172" t="s">
        <v>438</v>
      </c>
      <c r="M90" s="173"/>
      <c r="N90" s="182"/>
      <c r="O90" s="1178"/>
      <c r="P90" s="1178"/>
      <c r="Q90" s="1615" t="str">
        <f t="shared" si="65"/>
        <v>-</v>
      </c>
      <c r="R90" s="174"/>
      <c r="S90" s="175"/>
      <c r="T90" s="175"/>
      <c r="U90" s="176">
        <f t="shared" si="67"/>
        <v>0</v>
      </c>
      <c r="V90" s="156"/>
      <c r="W90" s="156"/>
      <c r="X90" s="118"/>
      <c r="AB90" s="118"/>
    </row>
    <row r="91" spans="1:30" ht="12.75" thickBot="1">
      <c r="A91" s="155" t="s">
        <v>439</v>
      </c>
      <c r="B91" s="177">
        <f t="shared" ref="B91:J91" si="68">+B85+B87+B88+B89+B90</f>
        <v>328859</v>
      </c>
      <c r="C91" s="155">
        <f t="shared" si="68"/>
        <v>137000</v>
      </c>
      <c r="D91" s="1180">
        <f t="shared" ref="D91:E91" si="69">+D85+D87+D88+D89+D90</f>
        <v>5556</v>
      </c>
      <c r="E91" s="1180">
        <f t="shared" si="69"/>
        <v>5556</v>
      </c>
      <c r="F91" s="1616">
        <f t="shared" si="62"/>
        <v>1</v>
      </c>
      <c r="G91" s="179">
        <f t="shared" si="68"/>
        <v>135585</v>
      </c>
      <c r="H91" s="177">
        <f t="shared" si="68"/>
        <v>0</v>
      </c>
      <c r="I91" s="177">
        <f t="shared" si="68"/>
        <v>0</v>
      </c>
      <c r="J91" s="178">
        <f t="shared" si="68"/>
        <v>470000</v>
      </c>
      <c r="K91" s="814"/>
      <c r="L91" s="155" t="s">
        <v>439</v>
      </c>
      <c r="M91" s="177">
        <f t="shared" ref="M91:U91" si="70">+M85+M87+M88+M89+M90</f>
        <v>37043</v>
      </c>
      <c r="N91" s="155">
        <f t="shared" si="70"/>
        <v>404</v>
      </c>
      <c r="O91" s="1180">
        <f t="shared" ref="O91:P91" si="71">+O85+O87+O88+O89+O90</f>
        <v>579</v>
      </c>
      <c r="P91" s="1180">
        <f t="shared" si="71"/>
        <v>579</v>
      </c>
      <c r="Q91" s="1616">
        <f t="shared" si="65"/>
        <v>1</v>
      </c>
      <c r="R91" s="179">
        <f t="shared" si="70"/>
        <v>0</v>
      </c>
      <c r="S91" s="177">
        <f t="shared" si="70"/>
        <v>0</v>
      </c>
      <c r="T91" s="177">
        <f t="shared" si="70"/>
        <v>0</v>
      </c>
      <c r="U91" s="178">
        <f t="shared" si="70"/>
        <v>37622</v>
      </c>
      <c r="V91" s="156"/>
      <c r="W91" s="156"/>
    </row>
    <row r="92" spans="1:30" ht="12.75" thickBot="1">
      <c r="A92" s="180"/>
      <c r="B92" s="180"/>
      <c r="C92" s="180"/>
      <c r="D92" s="180"/>
      <c r="E92" s="180"/>
      <c r="F92" s="180"/>
      <c r="G92" s="180"/>
      <c r="H92" s="180"/>
      <c r="I92" s="180"/>
      <c r="J92" s="180"/>
      <c r="K92" s="814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</row>
    <row r="93" spans="1:30" s="813" customFormat="1" ht="36.75" thickBot="1">
      <c r="A93" s="353" t="s">
        <v>440</v>
      </c>
      <c r="B93" s="354" t="s">
        <v>1314</v>
      </c>
      <c r="C93" s="1612" t="s">
        <v>1553</v>
      </c>
      <c r="D93" s="881" t="s">
        <v>1554</v>
      </c>
      <c r="E93" s="881" t="s">
        <v>2646</v>
      </c>
      <c r="F93" s="1613" t="s">
        <v>2645</v>
      </c>
      <c r="G93" s="335" t="s">
        <v>461</v>
      </c>
      <c r="H93" s="336" t="s">
        <v>462</v>
      </c>
      <c r="I93" s="336" t="s">
        <v>1313</v>
      </c>
      <c r="J93" s="1769" t="s">
        <v>18</v>
      </c>
      <c r="K93" s="816"/>
      <c r="L93" s="353" t="s">
        <v>440</v>
      </c>
      <c r="M93" s="354" t="s">
        <v>1314</v>
      </c>
      <c r="N93" s="1612" t="s">
        <v>1553</v>
      </c>
      <c r="O93" s="881" t="s">
        <v>1554</v>
      </c>
      <c r="P93" s="881" t="s">
        <v>2646</v>
      </c>
      <c r="Q93" s="1613" t="s">
        <v>2645</v>
      </c>
      <c r="R93" s="335" t="s">
        <v>461</v>
      </c>
      <c r="S93" s="336" t="s">
        <v>462</v>
      </c>
      <c r="T93" s="336" t="s">
        <v>1313</v>
      </c>
      <c r="U93" s="1769" t="s">
        <v>18</v>
      </c>
      <c r="V93" s="798"/>
      <c r="W93" s="798"/>
    </row>
    <row r="94" spans="1:30">
      <c r="A94" s="162" t="s">
        <v>446</v>
      </c>
      <c r="B94" s="163"/>
      <c r="C94" s="1174"/>
      <c r="D94" s="1175"/>
      <c r="E94" s="1175"/>
      <c r="F94" s="1614" t="str">
        <f t="shared" ref="F94:F102" si="72">IF(ISERROR(E94/D94),"-",E94/D94)</f>
        <v>-</v>
      </c>
      <c r="G94" s="164"/>
      <c r="H94" s="165"/>
      <c r="I94" s="165"/>
      <c r="J94" s="166">
        <f>+B94+IF(D94&lt;=E94,E94,D94)+G94+H94+I94</f>
        <v>0</v>
      </c>
      <c r="K94" s="814"/>
      <c r="L94" s="162" t="s">
        <v>446</v>
      </c>
      <c r="M94" s="163"/>
      <c r="N94" s="1174"/>
      <c r="O94" s="1175"/>
      <c r="P94" s="1175"/>
      <c r="Q94" s="1614" t="str">
        <f t="shared" ref="Q94:Q102" si="73">IF(ISERROR(P94/O94),"-",P94/O94)</f>
        <v>-</v>
      </c>
      <c r="R94" s="164"/>
      <c r="S94" s="165"/>
      <c r="T94" s="165"/>
      <c r="U94" s="166">
        <f>+M94+IF(O94&lt;=P94,P94,O94)+R94+S94+T94</f>
        <v>0</v>
      </c>
      <c r="V94" s="156"/>
      <c r="W94" s="156"/>
      <c r="X94" s="118"/>
      <c r="Y94" s="118"/>
      <c r="Z94" s="118"/>
      <c r="AA94" s="118"/>
      <c r="AB94" s="118"/>
      <c r="AC94" s="118"/>
      <c r="AD94" s="118"/>
    </row>
    <row r="95" spans="1:30">
      <c r="A95" s="181" t="s">
        <v>447</v>
      </c>
      <c r="B95" s="173"/>
      <c r="C95" s="182"/>
      <c r="D95" s="1178"/>
      <c r="E95" s="1178"/>
      <c r="F95" s="1615" t="str">
        <f t="shared" si="72"/>
        <v>-</v>
      </c>
      <c r="G95" s="174"/>
      <c r="H95" s="175"/>
      <c r="I95" s="175"/>
      <c r="J95" s="176">
        <f t="shared" ref="J95:J101" si="74">+B95+IF(D95&lt;=E95,E95,D95)+G95+H95+I95</f>
        <v>0</v>
      </c>
      <c r="K95" s="814"/>
      <c r="L95" s="181" t="s">
        <v>447</v>
      </c>
      <c r="M95" s="173"/>
      <c r="N95" s="182"/>
      <c r="O95" s="1178"/>
      <c r="P95" s="1178"/>
      <c r="Q95" s="1615" t="str">
        <f t="shared" si="73"/>
        <v>-</v>
      </c>
      <c r="R95" s="174"/>
      <c r="S95" s="175"/>
      <c r="T95" s="175"/>
      <c r="U95" s="176">
        <f t="shared" ref="U95:U101" si="75">+M95+IF(O95&lt;=P95,P95,O95)+R95+S95+T95</f>
        <v>0</v>
      </c>
      <c r="V95" s="156"/>
      <c r="W95" s="156"/>
      <c r="X95" s="118"/>
      <c r="Y95" s="118"/>
      <c r="Z95" s="118"/>
      <c r="AA95" s="118"/>
      <c r="AB95" s="118"/>
      <c r="AC95" s="118"/>
      <c r="AD95" s="118"/>
    </row>
    <row r="96" spans="1:30">
      <c r="A96" s="172" t="s">
        <v>448</v>
      </c>
      <c r="B96" s="173">
        <v>19536</v>
      </c>
      <c r="C96" s="182"/>
      <c r="D96" s="1178">
        <v>5556</v>
      </c>
      <c r="E96" s="1178">
        <v>5556</v>
      </c>
      <c r="F96" s="1615">
        <f t="shared" si="72"/>
        <v>1</v>
      </c>
      <c r="G96" s="174"/>
      <c r="H96" s="175"/>
      <c r="I96" s="175"/>
      <c r="J96" s="176">
        <f t="shared" si="74"/>
        <v>25092</v>
      </c>
      <c r="K96" s="814"/>
      <c r="L96" s="172" t="s">
        <v>448</v>
      </c>
      <c r="M96" s="173">
        <v>1879</v>
      </c>
      <c r="N96" s="182"/>
      <c r="O96" s="1178">
        <v>398</v>
      </c>
      <c r="P96" s="1178">
        <f>398</f>
        <v>398</v>
      </c>
      <c r="Q96" s="1615">
        <f t="shared" si="73"/>
        <v>1</v>
      </c>
      <c r="R96" s="174"/>
      <c r="S96" s="175"/>
      <c r="T96" s="175"/>
      <c r="U96" s="176">
        <f t="shared" si="75"/>
        <v>2277</v>
      </c>
      <c r="V96" s="156"/>
      <c r="W96" s="156"/>
      <c r="X96" s="118"/>
      <c r="Y96" s="118"/>
      <c r="Z96" s="118"/>
      <c r="AA96" s="118"/>
      <c r="AB96" s="118"/>
      <c r="AC96" s="118"/>
      <c r="AD96" s="118"/>
    </row>
    <row r="97" spans="1:30">
      <c r="A97" s="172" t="s">
        <v>449</v>
      </c>
      <c r="B97" s="173"/>
      <c r="C97" s="182"/>
      <c r="D97" s="1178"/>
      <c r="E97" s="1178"/>
      <c r="F97" s="1615" t="str">
        <f t="shared" si="72"/>
        <v>-</v>
      </c>
      <c r="G97" s="174"/>
      <c r="H97" s="175"/>
      <c r="I97" s="175"/>
      <c r="J97" s="176">
        <f t="shared" si="74"/>
        <v>0</v>
      </c>
      <c r="K97" s="814"/>
      <c r="L97" s="172" t="s">
        <v>449</v>
      </c>
      <c r="M97" s="173"/>
      <c r="N97" s="182"/>
      <c r="O97" s="1178"/>
      <c r="P97" s="1178"/>
      <c r="Q97" s="1615" t="str">
        <f t="shared" si="73"/>
        <v>-</v>
      </c>
      <c r="R97" s="174"/>
      <c r="S97" s="175"/>
      <c r="T97" s="175"/>
      <c r="U97" s="176">
        <f t="shared" si="75"/>
        <v>0</v>
      </c>
      <c r="V97" s="156"/>
      <c r="W97" s="156"/>
      <c r="X97" s="118"/>
      <c r="Z97" s="118"/>
      <c r="AA97" s="118"/>
      <c r="AB97" s="118"/>
      <c r="AD97" s="118"/>
    </row>
    <row r="98" spans="1:30">
      <c r="A98" s="182" t="s">
        <v>450</v>
      </c>
      <c r="B98" s="183"/>
      <c r="C98" s="182">
        <v>137000</v>
      </c>
      <c r="D98" s="1178">
        <v>0</v>
      </c>
      <c r="E98" s="1178"/>
      <c r="F98" s="1615" t="str">
        <f t="shared" si="72"/>
        <v>-</v>
      </c>
      <c r="G98" s="174">
        <v>135585</v>
      </c>
      <c r="H98" s="175"/>
      <c r="I98" s="175"/>
      <c r="J98" s="176">
        <f t="shared" si="74"/>
        <v>135585</v>
      </c>
      <c r="K98" s="814"/>
      <c r="L98" s="182" t="s">
        <v>450</v>
      </c>
      <c r="M98" s="183"/>
      <c r="N98" s="182">
        <v>404</v>
      </c>
      <c r="O98" s="1178">
        <v>181</v>
      </c>
      <c r="P98" s="1178">
        <v>181</v>
      </c>
      <c r="Q98" s="1615">
        <f t="shared" si="73"/>
        <v>1</v>
      </c>
      <c r="R98" s="174"/>
      <c r="S98" s="175"/>
      <c r="T98" s="175"/>
      <c r="U98" s="176">
        <f t="shared" si="75"/>
        <v>181</v>
      </c>
      <c r="V98" s="156"/>
      <c r="W98" s="156"/>
      <c r="X98" s="118"/>
      <c r="Y98" s="118"/>
      <c r="Z98" s="118"/>
      <c r="AA98" s="118"/>
      <c r="AB98" s="118"/>
      <c r="AC98" s="118"/>
      <c r="AD98" s="118"/>
    </row>
    <row r="99" spans="1:30">
      <c r="A99" s="182" t="s">
        <v>451</v>
      </c>
      <c r="B99" s="183">
        <v>309323</v>
      </c>
      <c r="C99" s="182"/>
      <c r="D99" s="1178"/>
      <c r="E99" s="1178"/>
      <c r="F99" s="1615" t="str">
        <f t="shared" si="72"/>
        <v>-</v>
      </c>
      <c r="G99" s="174"/>
      <c r="H99" s="175"/>
      <c r="I99" s="175"/>
      <c r="J99" s="176">
        <f t="shared" si="74"/>
        <v>309323</v>
      </c>
      <c r="K99" s="814"/>
      <c r="L99" s="182" t="s">
        <v>451</v>
      </c>
      <c r="M99" s="183"/>
      <c r="N99" s="182"/>
      <c r="O99" s="1178"/>
      <c r="P99" s="1178"/>
      <c r="Q99" s="1615" t="str">
        <f t="shared" si="73"/>
        <v>-</v>
      </c>
      <c r="R99" s="174"/>
      <c r="S99" s="175"/>
      <c r="T99" s="175"/>
      <c r="U99" s="176">
        <f t="shared" si="75"/>
        <v>0</v>
      </c>
      <c r="V99" s="156"/>
      <c r="W99" s="156"/>
      <c r="X99" s="118"/>
      <c r="Y99" s="118"/>
      <c r="Z99" s="118"/>
      <c r="AA99" s="118"/>
      <c r="AB99" s="118"/>
      <c r="AC99" s="118"/>
      <c r="AD99" s="118"/>
    </row>
    <row r="100" spans="1:30">
      <c r="A100" s="184" t="s">
        <v>452</v>
      </c>
      <c r="B100" s="185"/>
      <c r="C100" s="184"/>
      <c r="D100" s="1181"/>
      <c r="E100" s="1181"/>
      <c r="F100" s="1617" t="str">
        <f t="shared" si="72"/>
        <v>-</v>
      </c>
      <c r="G100" s="186"/>
      <c r="H100" s="187"/>
      <c r="I100" s="187"/>
      <c r="J100" s="176">
        <f t="shared" si="74"/>
        <v>0</v>
      </c>
      <c r="K100" s="814"/>
      <c r="L100" s="184" t="s">
        <v>452</v>
      </c>
      <c r="M100" s="185">
        <v>35164</v>
      </c>
      <c r="N100" s="184"/>
      <c r="O100" s="1181"/>
      <c r="P100" s="1181"/>
      <c r="Q100" s="1617" t="str">
        <f t="shared" si="73"/>
        <v>-</v>
      </c>
      <c r="R100" s="174"/>
      <c r="S100" s="187"/>
      <c r="T100" s="187"/>
      <c r="U100" s="176">
        <f t="shared" si="75"/>
        <v>35164</v>
      </c>
      <c r="V100" s="156"/>
      <c r="W100" s="156"/>
      <c r="X100" s="118"/>
      <c r="Y100" s="118"/>
      <c r="Z100" s="118"/>
      <c r="AA100" s="118"/>
      <c r="AB100" s="118"/>
      <c r="AC100" s="118"/>
      <c r="AD100" s="118"/>
    </row>
    <row r="101" spans="1:30" ht="12.75" thickBot="1">
      <c r="A101" s="184" t="s">
        <v>453</v>
      </c>
      <c r="B101" s="185"/>
      <c r="C101" s="184"/>
      <c r="D101" s="1181"/>
      <c r="E101" s="1181"/>
      <c r="F101" s="1617" t="str">
        <f t="shared" si="72"/>
        <v>-</v>
      </c>
      <c r="G101" s="186"/>
      <c r="H101" s="187"/>
      <c r="I101" s="187"/>
      <c r="J101" s="176">
        <f t="shared" si="74"/>
        <v>0</v>
      </c>
      <c r="K101" s="814"/>
      <c r="L101" s="184" t="s">
        <v>453</v>
      </c>
      <c r="M101" s="185"/>
      <c r="N101" s="184"/>
      <c r="O101" s="1181"/>
      <c r="P101" s="1181"/>
      <c r="Q101" s="1617" t="str">
        <f t="shared" si="73"/>
        <v>-</v>
      </c>
      <c r="R101" s="186"/>
      <c r="S101" s="187"/>
      <c r="T101" s="187"/>
      <c r="U101" s="176">
        <f t="shared" si="75"/>
        <v>0</v>
      </c>
      <c r="V101" s="156"/>
      <c r="W101" s="156"/>
      <c r="X101" s="118"/>
      <c r="Y101" s="118"/>
      <c r="Z101" s="118"/>
      <c r="AA101" s="118"/>
      <c r="AB101" s="118"/>
      <c r="AC101" s="118"/>
      <c r="AD101" s="118"/>
    </row>
    <row r="102" spans="1:30" ht="12.75" thickBot="1">
      <c r="A102" s="155" t="s">
        <v>454</v>
      </c>
      <c r="B102" s="177">
        <f t="shared" ref="B102:J102" si="76">+B94+B95+B96+B97+B98+B99+B100+B101</f>
        <v>328859</v>
      </c>
      <c r="C102" s="155">
        <f t="shared" si="76"/>
        <v>137000</v>
      </c>
      <c r="D102" s="1180">
        <f t="shared" ref="D102:E102" si="77">+D94+D95+D96+D97+D98+D99+D100+D101</f>
        <v>5556</v>
      </c>
      <c r="E102" s="1180">
        <f t="shared" si="77"/>
        <v>5556</v>
      </c>
      <c r="F102" s="1616">
        <f t="shared" si="72"/>
        <v>1</v>
      </c>
      <c r="G102" s="179">
        <f t="shared" si="76"/>
        <v>135585</v>
      </c>
      <c r="H102" s="177">
        <f t="shared" si="76"/>
        <v>0</v>
      </c>
      <c r="I102" s="177">
        <f t="shared" si="76"/>
        <v>0</v>
      </c>
      <c r="J102" s="178">
        <f t="shared" si="76"/>
        <v>470000</v>
      </c>
      <c r="L102" s="155" t="s">
        <v>454</v>
      </c>
      <c r="M102" s="177">
        <f t="shared" ref="M102:U102" si="78">+M94+M95+M96+M97+M98+M99+M100+M101</f>
        <v>37043</v>
      </c>
      <c r="N102" s="155">
        <f t="shared" si="78"/>
        <v>404</v>
      </c>
      <c r="O102" s="1180">
        <f t="shared" ref="O102:P102" si="79">+O94+O95+O96+O97+O98+O99+O100+O101</f>
        <v>579</v>
      </c>
      <c r="P102" s="1180">
        <f t="shared" si="79"/>
        <v>579</v>
      </c>
      <c r="Q102" s="1616">
        <f t="shared" si="73"/>
        <v>1</v>
      </c>
      <c r="R102" s="179">
        <f t="shared" si="78"/>
        <v>0</v>
      </c>
      <c r="S102" s="177">
        <f t="shared" si="78"/>
        <v>0</v>
      </c>
      <c r="T102" s="177">
        <f t="shared" si="78"/>
        <v>0</v>
      </c>
      <c r="U102" s="178">
        <f t="shared" si="78"/>
        <v>37622</v>
      </c>
      <c r="V102" s="156"/>
      <c r="W102" s="156"/>
      <c r="Y102" s="814"/>
      <c r="AC102" s="814"/>
    </row>
    <row r="103" spans="1:30">
      <c r="A103" s="156"/>
      <c r="B103" s="156"/>
      <c r="C103" s="156"/>
      <c r="D103" s="156"/>
      <c r="E103" s="156"/>
      <c r="F103" s="156"/>
      <c r="G103" s="156"/>
      <c r="H103" s="156"/>
      <c r="I103" s="156"/>
      <c r="J103" s="156"/>
      <c r="K103" s="814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</row>
    <row r="104" spans="1:30">
      <c r="A104" s="156"/>
      <c r="B104" s="156"/>
      <c r="C104" s="156"/>
      <c r="D104" s="156"/>
      <c r="E104" s="156"/>
      <c r="F104" s="156"/>
      <c r="G104" s="156"/>
      <c r="H104" s="156"/>
      <c r="I104" s="156"/>
      <c r="J104" s="156"/>
      <c r="K104" s="814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</row>
    <row r="105" spans="1:30" s="807" customFormat="1" ht="15.75">
      <c r="A105" s="154" t="s">
        <v>1221</v>
      </c>
      <c r="B105" s="1767" t="s">
        <v>1227</v>
      </c>
      <c r="C105" s="1767"/>
      <c r="D105" s="1767"/>
      <c r="E105" s="1767"/>
      <c r="F105" s="1767"/>
      <c r="G105" s="1767"/>
      <c r="H105" s="1767"/>
      <c r="I105" s="1767"/>
      <c r="J105" s="1767"/>
      <c r="K105" s="719"/>
      <c r="L105" s="154" t="s">
        <v>1223</v>
      </c>
      <c r="M105" s="1767" t="s">
        <v>1229</v>
      </c>
      <c r="N105" s="1767"/>
      <c r="O105" s="1767"/>
      <c r="P105" s="1767"/>
      <c r="Q105" s="1767"/>
      <c r="R105" s="1767"/>
      <c r="S105" s="1767"/>
      <c r="T105" s="1767"/>
      <c r="U105" s="1767"/>
      <c r="V105" s="1767"/>
      <c r="W105" s="1767"/>
    </row>
    <row r="106" spans="1:30" s="807" customFormat="1" ht="15.75" customHeight="1">
      <c r="A106" s="1819" t="s">
        <v>1230</v>
      </c>
      <c r="B106" s="1819"/>
      <c r="C106" s="1819"/>
      <c r="D106" s="1819"/>
      <c r="E106" s="1819"/>
      <c r="F106" s="1819"/>
      <c r="G106" s="1819"/>
      <c r="H106" s="1819"/>
      <c r="I106" s="1819"/>
      <c r="J106" s="1819"/>
      <c r="K106" s="719"/>
      <c r="L106" s="1819" t="s">
        <v>1231</v>
      </c>
      <c r="M106" s="1819"/>
      <c r="N106" s="1819"/>
      <c r="O106" s="1819"/>
      <c r="P106" s="1819"/>
      <c r="Q106" s="1819"/>
      <c r="R106" s="1819"/>
      <c r="S106" s="1819"/>
      <c r="T106" s="1819"/>
      <c r="U106" s="1819"/>
      <c r="V106" s="1766"/>
      <c r="W106" s="1766"/>
    </row>
    <row r="107" spans="1:30" s="807" customFormat="1" ht="15.75">
      <c r="A107" s="1818" t="s">
        <v>1120</v>
      </c>
      <c r="B107" s="1818"/>
      <c r="C107" s="1818"/>
      <c r="D107" s="1818"/>
      <c r="E107" s="1818"/>
      <c r="F107" s="1818"/>
      <c r="G107" s="1818"/>
      <c r="H107" s="1818"/>
      <c r="I107" s="1818"/>
      <c r="J107" s="1818"/>
      <c r="K107" s="719"/>
      <c r="L107" s="1818" t="s">
        <v>1120</v>
      </c>
      <c r="M107" s="1818"/>
      <c r="N107" s="1818"/>
      <c r="O107" s="1818"/>
      <c r="P107" s="1818"/>
      <c r="Q107" s="1818"/>
      <c r="R107" s="1818"/>
      <c r="S107" s="1818"/>
      <c r="T107" s="1818"/>
      <c r="U107" s="1818"/>
      <c r="V107" s="1765"/>
      <c r="W107" s="1765"/>
    </row>
    <row r="108" spans="1:30" s="810" customFormat="1" ht="12.75" thickBot="1">
      <c r="A108" s="809"/>
      <c r="B108" s="809"/>
      <c r="G108" s="809"/>
      <c r="H108" s="809"/>
      <c r="J108" s="199" t="s">
        <v>281</v>
      </c>
      <c r="K108" s="811"/>
      <c r="L108" s="809"/>
      <c r="M108" s="809"/>
      <c r="N108" s="809"/>
      <c r="O108" s="809"/>
      <c r="P108" s="809"/>
      <c r="Q108" s="809"/>
      <c r="R108" s="809"/>
      <c r="S108" s="809"/>
      <c r="U108" s="199" t="s">
        <v>281</v>
      </c>
      <c r="V108" s="797"/>
      <c r="W108" s="797"/>
    </row>
    <row r="109" spans="1:30" s="813" customFormat="1" ht="36.75" thickBot="1">
      <c r="A109" s="353" t="s">
        <v>432</v>
      </c>
      <c r="B109" s="354" t="s">
        <v>1314</v>
      </c>
      <c r="C109" s="1612" t="s">
        <v>1553</v>
      </c>
      <c r="D109" s="881" t="s">
        <v>1554</v>
      </c>
      <c r="E109" s="881" t="s">
        <v>2646</v>
      </c>
      <c r="F109" s="1613" t="s">
        <v>2645</v>
      </c>
      <c r="G109" s="335" t="s">
        <v>461</v>
      </c>
      <c r="H109" s="336" t="s">
        <v>462</v>
      </c>
      <c r="I109" s="336" t="s">
        <v>1313</v>
      </c>
      <c r="J109" s="1769" t="s">
        <v>18</v>
      </c>
      <c r="K109" s="816"/>
      <c r="L109" s="353" t="s">
        <v>432</v>
      </c>
      <c r="M109" s="354" t="s">
        <v>1314</v>
      </c>
      <c r="N109" s="1612" t="s">
        <v>1553</v>
      </c>
      <c r="O109" s="881" t="s">
        <v>1554</v>
      </c>
      <c r="P109" s="881" t="s">
        <v>2646</v>
      </c>
      <c r="Q109" s="1613" t="s">
        <v>2645</v>
      </c>
      <c r="R109" s="335" t="s">
        <v>461</v>
      </c>
      <c r="S109" s="336" t="s">
        <v>462</v>
      </c>
      <c r="T109" s="336" t="s">
        <v>1313</v>
      </c>
      <c r="U109" s="1769" t="s">
        <v>18</v>
      </c>
      <c r="V109" s="798"/>
      <c r="W109" s="798"/>
    </row>
    <row r="110" spans="1:30">
      <c r="A110" s="162" t="s">
        <v>433</v>
      </c>
      <c r="B110" s="163">
        <f t="shared" ref="B110:J110" si="80">+B127-B115-B114-B113-B112</f>
        <v>-5689</v>
      </c>
      <c r="C110" s="1174">
        <f t="shared" si="80"/>
        <v>8223</v>
      </c>
      <c r="D110" s="1175">
        <f t="shared" ref="D110:E110" si="81">+D127-D115-D114-D113-D112</f>
        <v>4035</v>
      </c>
      <c r="E110" s="1175">
        <f t="shared" si="81"/>
        <v>4035</v>
      </c>
      <c r="F110" s="1614">
        <f t="shared" ref="F110:F116" si="82">IF(ISERROR(E110/D110),"-",E110/D110)</f>
        <v>1</v>
      </c>
      <c r="G110" s="164">
        <f t="shared" si="80"/>
        <v>1654</v>
      </c>
      <c r="H110" s="165">
        <f t="shared" si="80"/>
        <v>0</v>
      </c>
      <c r="I110" s="165">
        <f t="shared" si="80"/>
        <v>0</v>
      </c>
      <c r="J110" s="166">
        <f t="shared" si="80"/>
        <v>0</v>
      </c>
      <c r="K110" s="814"/>
      <c r="L110" s="162" t="s">
        <v>433</v>
      </c>
      <c r="M110" s="163">
        <f t="shared" ref="M110:U110" si="83">+M127-M115-M114-M113-M112</f>
        <v>-398747</v>
      </c>
      <c r="N110" s="1174">
        <f t="shared" si="83"/>
        <v>398746</v>
      </c>
      <c r="O110" s="1175">
        <f t="shared" ref="O110:P110" si="84">+O127-O115-O114-O113-O112</f>
        <v>363429</v>
      </c>
      <c r="P110" s="1175">
        <f t="shared" si="84"/>
        <v>363429</v>
      </c>
      <c r="Q110" s="1614">
        <f t="shared" ref="Q110:Q116" si="85">IF(ISERROR(P110/O110),"-",P110/O110)</f>
        <v>1</v>
      </c>
      <c r="R110" s="164">
        <f t="shared" si="83"/>
        <v>35318</v>
      </c>
      <c r="S110" s="165">
        <f t="shared" si="83"/>
        <v>0</v>
      </c>
      <c r="T110" s="165">
        <f t="shared" si="83"/>
        <v>0</v>
      </c>
      <c r="U110" s="166">
        <f t="shared" si="83"/>
        <v>0</v>
      </c>
      <c r="V110" s="156"/>
      <c r="W110" s="156"/>
    </row>
    <row r="111" spans="1:30">
      <c r="A111" s="167" t="s">
        <v>434</v>
      </c>
      <c r="B111" s="168"/>
      <c r="C111" s="1176"/>
      <c r="D111" s="1177"/>
      <c r="E111" s="1177"/>
      <c r="F111" s="1615" t="str">
        <f t="shared" si="82"/>
        <v>-</v>
      </c>
      <c r="G111" s="169"/>
      <c r="H111" s="170"/>
      <c r="I111" s="170"/>
      <c r="J111" s="171">
        <f>+B111+IF(D111&lt;=E111,E111,D111)+G111+H111+I111</f>
        <v>0</v>
      </c>
      <c r="K111" s="814"/>
      <c r="L111" s="167" t="s">
        <v>434</v>
      </c>
      <c r="M111" s="168"/>
      <c r="N111" s="1176"/>
      <c r="O111" s="1177"/>
      <c r="P111" s="1177"/>
      <c r="Q111" s="1615" t="str">
        <f t="shared" si="85"/>
        <v>-</v>
      </c>
      <c r="R111" s="169"/>
      <c r="S111" s="170"/>
      <c r="T111" s="170"/>
      <c r="U111" s="171">
        <f>+M111+IF(O111&lt;=P111,P111,O111)+R111+S111+T111</f>
        <v>0</v>
      </c>
      <c r="V111" s="799"/>
      <c r="W111" s="799"/>
      <c r="X111" s="118"/>
      <c r="AB111" s="118"/>
    </row>
    <row r="112" spans="1:30">
      <c r="A112" s="172" t="s">
        <v>435</v>
      </c>
      <c r="B112" s="173">
        <v>16553</v>
      </c>
      <c r="C112" s="182"/>
      <c r="D112" s="1178"/>
      <c r="E112" s="1178"/>
      <c r="F112" s="1615" t="str">
        <f t="shared" si="82"/>
        <v>-</v>
      </c>
      <c r="G112" s="174"/>
      <c r="H112" s="175"/>
      <c r="I112" s="175"/>
      <c r="J112" s="176">
        <f t="shared" ref="J112:J115" si="86">+B112+IF(D112&lt;=E112,E112,D112)+G112+H112+I112</f>
        <v>16553</v>
      </c>
      <c r="K112" s="814"/>
      <c r="L112" s="172" t="s">
        <v>435</v>
      </c>
      <c r="M112" s="173">
        <v>420000</v>
      </c>
      <c r="N112" s="182"/>
      <c r="O112" s="1178"/>
      <c r="P112" s="1178"/>
      <c r="Q112" s="1615" t="str">
        <f t="shared" si="85"/>
        <v>-</v>
      </c>
      <c r="R112" s="174"/>
      <c r="S112" s="175"/>
      <c r="T112" s="175"/>
      <c r="U112" s="176">
        <f t="shared" ref="U112:U115" si="87">+M112+IF(O112&lt;=P112,P112,O112)+R112+S112+T112</f>
        <v>420000</v>
      </c>
      <c r="V112" s="156"/>
      <c r="W112" s="156"/>
      <c r="X112" s="118"/>
      <c r="Y112" s="118"/>
      <c r="Z112" s="118"/>
      <c r="AA112" s="118"/>
      <c r="AB112" s="118"/>
      <c r="AC112" s="118"/>
      <c r="AD112" s="118"/>
    </row>
    <row r="113" spans="1:30">
      <c r="A113" s="172" t="s">
        <v>436</v>
      </c>
      <c r="B113" s="173"/>
      <c r="C113" s="182"/>
      <c r="D113" s="1178"/>
      <c r="E113" s="1178"/>
      <c r="F113" s="1615" t="str">
        <f t="shared" si="82"/>
        <v>-</v>
      </c>
      <c r="G113" s="174"/>
      <c r="H113" s="175"/>
      <c r="I113" s="175"/>
      <c r="J113" s="176">
        <f t="shared" si="86"/>
        <v>0</v>
      </c>
      <c r="K113" s="814"/>
      <c r="L113" s="172" t="s">
        <v>436</v>
      </c>
      <c r="M113" s="173"/>
      <c r="N113" s="182"/>
      <c r="O113" s="1178"/>
      <c r="P113" s="1178"/>
      <c r="Q113" s="1615" t="str">
        <f t="shared" si="85"/>
        <v>-</v>
      </c>
      <c r="R113" s="174"/>
      <c r="S113" s="175"/>
      <c r="T113" s="175"/>
      <c r="U113" s="176">
        <f t="shared" si="87"/>
        <v>0</v>
      </c>
      <c r="V113" s="156"/>
      <c r="W113" s="156"/>
      <c r="X113" s="118"/>
      <c r="AB113" s="118"/>
    </row>
    <row r="114" spans="1:30">
      <c r="A114" s="172" t="s">
        <v>437</v>
      </c>
      <c r="B114" s="173"/>
      <c r="C114" s="182"/>
      <c r="D114" s="1178"/>
      <c r="E114" s="1178"/>
      <c r="F114" s="1615" t="str">
        <f t="shared" si="82"/>
        <v>-</v>
      </c>
      <c r="G114" s="174"/>
      <c r="H114" s="175"/>
      <c r="I114" s="175"/>
      <c r="J114" s="176">
        <f t="shared" si="86"/>
        <v>0</v>
      </c>
      <c r="K114" s="814"/>
      <c r="L114" s="172" t="s">
        <v>437</v>
      </c>
      <c r="M114" s="173"/>
      <c r="N114" s="182"/>
      <c r="O114" s="1178"/>
      <c r="P114" s="1178"/>
      <c r="Q114" s="1615" t="str">
        <f t="shared" si="85"/>
        <v>-</v>
      </c>
      <c r="R114" s="174"/>
      <c r="S114" s="175"/>
      <c r="T114" s="175"/>
      <c r="U114" s="176">
        <f t="shared" si="87"/>
        <v>0</v>
      </c>
      <c r="V114" s="156"/>
      <c r="W114" s="156"/>
      <c r="X114" s="118"/>
      <c r="AB114" s="118"/>
    </row>
    <row r="115" spans="1:30" ht="12.75" thickBot="1">
      <c r="A115" s="172" t="s">
        <v>438</v>
      </c>
      <c r="B115" s="173"/>
      <c r="C115" s="182"/>
      <c r="D115" s="1178"/>
      <c r="E115" s="1178"/>
      <c r="F115" s="1615" t="str">
        <f t="shared" si="82"/>
        <v>-</v>
      </c>
      <c r="G115" s="174"/>
      <c r="H115" s="175"/>
      <c r="I115" s="175"/>
      <c r="J115" s="176">
        <f t="shared" si="86"/>
        <v>0</v>
      </c>
      <c r="K115" s="814"/>
      <c r="L115" s="172" t="s">
        <v>438</v>
      </c>
      <c r="M115" s="173"/>
      <c r="N115" s="182"/>
      <c r="O115" s="1178"/>
      <c r="P115" s="1178"/>
      <c r="Q115" s="1615" t="str">
        <f t="shared" si="85"/>
        <v>-</v>
      </c>
      <c r="R115" s="174"/>
      <c r="S115" s="175"/>
      <c r="T115" s="175"/>
      <c r="U115" s="176">
        <f t="shared" si="87"/>
        <v>0</v>
      </c>
      <c r="V115" s="156"/>
      <c r="W115" s="156"/>
      <c r="X115" s="118"/>
      <c r="AB115" s="118"/>
    </row>
    <row r="116" spans="1:30" ht="12.75" thickBot="1">
      <c r="A116" s="155" t="s">
        <v>439</v>
      </c>
      <c r="B116" s="177">
        <f t="shared" ref="B116:J116" si="88">+B110+B112+B113+B114+B115</f>
        <v>10864</v>
      </c>
      <c r="C116" s="155">
        <f t="shared" si="88"/>
        <v>8223</v>
      </c>
      <c r="D116" s="1180">
        <f t="shared" ref="D116:E116" si="89">+D110+D112+D113+D114+D115</f>
        <v>4035</v>
      </c>
      <c r="E116" s="1180">
        <f t="shared" si="89"/>
        <v>4035</v>
      </c>
      <c r="F116" s="1616">
        <f t="shared" si="82"/>
        <v>1</v>
      </c>
      <c r="G116" s="179">
        <f t="shared" si="88"/>
        <v>1654</v>
      </c>
      <c r="H116" s="177">
        <f t="shared" si="88"/>
        <v>0</v>
      </c>
      <c r="I116" s="177">
        <f t="shared" si="88"/>
        <v>0</v>
      </c>
      <c r="J116" s="178">
        <f t="shared" si="88"/>
        <v>16553</v>
      </c>
      <c r="K116" s="814"/>
      <c r="L116" s="155" t="s">
        <v>439</v>
      </c>
      <c r="M116" s="177">
        <f t="shared" ref="M116:U116" si="90">+M110+M112+M113+M114+M115</f>
        <v>21253</v>
      </c>
      <c r="N116" s="155">
        <f t="shared" si="90"/>
        <v>398746</v>
      </c>
      <c r="O116" s="1180">
        <f t="shared" ref="O116:P116" si="91">+O110+O112+O113+O114+O115</f>
        <v>363429</v>
      </c>
      <c r="P116" s="1180">
        <f t="shared" si="91"/>
        <v>363429</v>
      </c>
      <c r="Q116" s="1616">
        <f t="shared" si="85"/>
        <v>1</v>
      </c>
      <c r="R116" s="179">
        <f t="shared" si="90"/>
        <v>35318</v>
      </c>
      <c r="S116" s="177">
        <f t="shared" si="90"/>
        <v>0</v>
      </c>
      <c r="T116" s="177">
        <f t="shared" si="90"/>
        <v>0</v>
      </c>
      <c r="U116" s="178">
        <f t="shared" si="90"/>
        <v>420000</v>
      </c>
      <c r="V116" s="156"/>
      <c r="W116" s="156"/>
    </row>
    <row r="117" spans="1:30" ht="12.75" thickBot="1">
      <c r="A117" s="180"/>
      <c r="B117" s="180"/>
      <c r="C117" s="180"/>
      <c r="D117" s="180"/>
      <c r="E117" s="180"/>
      <c r="F117" s="180"/>
      <c r="G117" s="180"/>
      <c r="H117" s="180"/>
      <c r="I117" s="180"/>
      <c r="J117" s="180"/>
      <c r="K117" s="814"/>
      <c r="L117" s="180"/>
      <c r="M117" s="180"/>
      <c r="N117" s="180"/>
      <c r="O117" s="180"/>
      <c r="P117" s="180"/>
      <c r="Q117" s="180"/>
      <c r="R117" s="180"/>
      <c r="S117" s="180"/>
      <c r="T117" s="180"/>
      <c r="U117" s="180"/>
      <c r="V117" s="180"/>
      <c r="W117" s="180"/>
    </row>
    <row r="118" spans="1:30" s="813" customFormat="1" ht="36.75" thickBot="1">
      <c r="A118" s="353" t="s">
        <v>440</v>
      </c>
      <c r="B118" s="354" t="s">
        <v>1314</v>
      </c>
      <c r="C118" s="1612" t="s">
        <v>1553</v>
      </c>
      <c r="D118" s="881" t="s">
        <v>1554</v>
      </c>
      <c r="E118" s="881" t="s">
        <v>2646</v>
      </c>
      <c r="F118" s="1613" t="s">
        <v>2645</v>
      </c>
      <c r="G118" s="335" t="s">
        <v>461</v>
      </c>
      <c r="H118" s="336" t="s">
        <v>462</v>
      </c>
      <c r="I118" s="336" t="s">
        <v>1313</v>
      </c>
      <c r="J118" s="1769" t="s">
        <v>18</v>
      </c>
      <c r="K118" s="816"/>
      <c r="L118" s="353" t="s">
        <v>440</v>
      </c>
      <c r="M118" s="354" t="s">
        <v>1314</v>
      </c>
      <c r="N118" s="1612" t="s">
        <v>1553</v>
      </c>
      <c r="O118" s="881" t="s">
        <v>1554</v>
      </c>
      <c r="P118" s="881" t="s">
        <v>2646</v>
      </c>
      <c r="Q118" s="1613" t="s">
        <v>2645</v>
      </c>
      <c r="R118" s="335" t="s">
        <v>461</v>
      </c>
      <c r="S118" s="336" t="s">
        <v>462</v>
      </c>
      <c r="T118" s="336" t="s">
        <v>1313</v>
      </c>
      <c r="U118" s="1769" t="s">
        <v>18</v>
      </c>
      <c r="V118" s="798"/>
      <c r="W118" s="798"/>
    </row>
    <row r="119" spans="1:30">
      <c r="A119" s="162" t="s">
        <v>446</v>
      </c>
      <c r="B119" s="163">
        <v>3341</v>
      </c>
      <c r="C119" s="1174"/>
      <c r="D119" s="1175">
        <v>3338</v>
      </c>
      <c r="E119" s="1175">
        <v>3338</v>
      </c>
      <c r="F119" s="1614">
        <f t="shared" ref="F119:F127" si="92">IF(ISERROR(E119/D119),"-",E119/D119)</f>
        <v>1</v>
      </c>
      <c r="G119" s="164"/>
      <c r="H119" s="165"/>
      <c r="I119" s="165"/>
      <c r="J119" s="166">
        <f>+B119+IF(D119&lt;=E119,E119,D119)+G119+H119+I119</f>
        <v>6679</v>
      </c>
      <c r="K119" s="814"/>
      <c r="L119" s="162" t="s">
        <v>446</v>
      </c>
      <c r="M119" s="163"/>
      <c r="N119" s="1174"/>
      <c r="O119" s="1175"/>
      <c r="P119" s="1175"/>
      <c r="Q119" s="1614" t="str">
        <f t="shared" ref="Q119:Q127" si="93">IF(ISERROR(P119/O119),"-",P119/O119)</f>
        <v>-</v>
      </c>
      <c r="R119" s="164"/>
      <c r="S119" s="165"/>
      <c r="T119" s="165"/>
      <c r="U119" s="166">
        <f>+M119+IF(O119&lt;=P119,P119,O119)+R119+S119+T119</f>
        <v>0</v>
      </c>
      <c r="V119" s="156"/>
      <c r="W119" s="156"/>
      <c r="X119" s="118"/>
      <c r="Y119" s="118"/>
      <c r="Z119" s="118"/>
      <c r="AA119" s="118"/>
      <c r="AB119" s="118"/>
      <c r="AC119" s="118"/>
      <c r="AD119" s="118"/>
    </row>
    <row r="120" spans="1:30">
      <c r="A120" s="181" t="s">
        <v>447</v>
      </c>
      <c r="B120" s="173">
        <v>474</v>
      </c>
      <c r="C120" s="182"/>
      <c r="D120" s="1178">
        <v>598</v>
      </c>
      <c r="E120" s="1178">
        <v>598</v>
      </c>
      <c r="F120" s="1615">
        <f t="shared" si="92"/>
        <v>1</v>
      </c>
      <c r="G120" s="174"/>
      <c r="H120" s="175"/>
      <c r="I120" s="175"/>
      <c r="J120" s="176">
        <f t="shared" ref="J120:J126" si="94">+B120+IF(D120&lt;=E120,E120,D120)+G120+H120+I120</f>
        <v>1072</v>
      </c>
      <c r="K120" s="814"/>
      <c r="L120" s="181" t="s">
        <v>447</v>
      </c>
      <c r="M120" s="173"/>
      <c r="N120" s="182"/>
      <c r="O120" s="1178"/>
      <c r="P120" s="1178"/>
      <c r="Q120" s="1615" t="str">
        <f t="shared" si="93"/>
        <v>-</v>
      </c>
      <c r="R120" s="174"/>
      <c r="S120" s="175"/>
      <c r="T120" s="175"/>
      <c r="U120" s="176">
        <f t="shared" ref="U120:U126" si="95">+M120+IF(O120&lt;=P120,P120,O120)+R120+S120+T120</f>
        <v>0</v>
      </c>
      <c r="V120" s="156"/>
      <c r="W120" s="156"/>
      <c r="X120" s="118"/>
      <c r="Y120" s="118"/>
      <c r="Z120" s="118"/>
      <c r="AA120" s="118"/>
      <c r="AB120" s="118"/>
      <c r="AC120" s="118"/>
      <c r="AD120" s="118"/>
    </row>
    <row r="121" spans="1:30">
      <c r="A121" s="172" t="s">
        <v>448</v>
      </c>
      <c r="B121" s="173">
        <v>7049</v>
      </c>
      <c r="C121" s="182"/>
      <c r="D121" s="1178">
        <v>99</v>
      </c>
      <c r="E121" s="1178">
        <v>99</v>
      </c>
      <c r="F121" s="1615">
        <f t="shared" si="92"/>
        <v>1</v>
      </c>
      <c r="G121" s="174"/>
      <c r="H121" s="175"/>
      <c r="I121" s="175"/>
      <c r="J121" s="176">
        <f t="shared" si="94"/>
        <v>7148</v>
      </c>
      <c r="K121" s="814"/>
      <c r="L121" s="172" t="s">
        <v>448</v>
      </c>
      <c r="M121" s="173">
        <v>13633</v>
      </c>
      <c r="N121" s="182"/>
      <c r="O121" s="1178">
        <v>74356</v>
      </c>
      <c r="P121" s="1178">
        <v>74356</v>
      </c>
      <c r="Q121" s="1615">
        <f t="shared" si="93"/>
        <v>1</v>
      </c>
      <c r="R121" s="174"/>
      <c r="S121" s="175"/>
      <c r="T121" s="175"/>
      <c r="U121" s="176">
        <f t="shared" si="95"/>
        <v>87989</v>
      </c>
      <c r="V121" s="156"/>
      <c r="W121" s="156"/>
      <c r="X121" s="118"/>
      <c r="Y121" s="118"/>
      <c r="Z121" s="118"/>
      <c r="AA121" s="118"/>
      <c r="AB121" s="118"/>
      <c r="AC121" s="118"/>
      <c r="AD121" s="118"/>
    </row>
    <row r="122" spans="1:30">
      <c r="A122" s="172" t="s">
        <v>449</v>
      </c>
      <c r="B122" s="173"/>
      <c r="C122" s="182"/>
      <c r="D122" s="1178"/>
      <c r="E122" s="1178"/>
      <c r="F122" s="1615" t="str">
        <f t="shared" si="92"/>
        <v>-</v>
      </c>
      <c r="G122" s="174"/>
      <c r="H122" s="175"/>
      <c r="I122" s="175"/>
      <c r="J122" s="176">
        <f t="shared" si="94"/>
        <v>0</v>
      </c>
      <c r="K122" s="814"/>
      <c r="L122" s="172" t="s">
        <v>449</v>
      </c>
      <c r="M122" s="173"/>
      <c r="N122" s="182"/>
      <c r="O122" s="1178"/>
      <c r="P122" s="1178"/>
      <c r="Q122" s="1615" t="str">
        <f t="shared" si="93"/>
        <v>-</v>
      </c>
      <c r="R122" s="174"/>
      <c r="S122" s="175"/>
      <c r="T122" s="175"/>
      <c r="U122" s="176">
        <f t="shared" si="95"/>
        <v>0</v>
      </c>
      <c r="V122" s="156"/>
      <c r="W122" s="156"/>
      <c r="X122" s="118"/>
      <c r="Z122" s="118"/>
      <c r="AA122" s="118"/>
      <c r="AB122" s="118"/>
      <c r="AD122" s="118"/>
    </row>
    <row r="123" spans="1:30">
      <c r="A123" s="182" t="s">
        <v>450</v>
      </c>
      <c r="B123" s="183"/>
      <c r="C123" s="182">
        <v>8223</v>
      </c>
      <c r="D123" s="1178">
        <v>0</v>
      </c>
      <c r="E123" s="1178"/>
      <c r="F123" s="1615" t="str">
        <f t="shared" si="92"/>
        <v>-</v>
      </c>
      <c r="G123" s="174">
        <v>1654</v>
      </c>
      <c r="H123" s="175"/>
      <c r="I123" s="175"/>
      <c r="J123" s="176">
        <f t="shared" si="94"/>
        <v>1654</v>
      </c>
      <c r="K123" s="814"/>
      <c r="L123" s="182" t="s">
        <v>450</v>
      </c>
      <c r="M123" s="183"/>
      <c r="N123" s="182">
        <v>398746</v>
      </c>
      <c r="O123" s="1178">
        <v>0</v>
      </c>
      <c r="P123" s="1178"/>
      <c r="Q123" s="1615" t="str">
        <f t="shared" si="93"/>
        <v>-</v>
      </c>
      <c r="R123" s="174">
        <v>35318</v>
      </c>
      <c r="S123" s="175"/>
      <c r="T123" s="175"/>
      <c r="U123" s="176">
        <f t="shared" si="95"/>
        <v>35318</v>
      </c>
      <c r="V123" s="156"/>
      <c r="W123" s="156"/>
      <c r="X123" s="118"/>
      <c r="Y123" s="118"/>
      <c r="Z123" s="118"/>
      <c r="AA123" s="118"/>
      <c r="AB123" s="118"/>
      <c r="AC123" s="118"/>
      <c r="AD123" s="118"/>
    </row>
    <row r="124" spans="1:30">
      <c r="A124" s="182" t="s">
        <v>451</v>
      </c>
      <c r="B124" s="183"/>
      <c r="C124" s="182"/>
      <c r="D124" s="1178"/>
      <c r="E124" s="1178"/>
      <c r="F124" s="1615" t="str">
        <f t="shared" si="92"/>
        <v>-</v>
      </c>
      <c r="G124" s="174"/>
      <c r="H124" s="175"/>
      <c r="I124" s="175"/>
      <c r="J124" s="176">
        <f t="shared" si="94"/>
        <v>0</v>
      </c>
      <c r="K124" s="814"/>
      <c r="L124" s="182" t="s">
        <v>451</v>
      </c>
      <c r="M124" s="183">
        <v>7620</v>
      </c>
      <c r="N124" s="182"/>
      <c r="O124" s="1178">
        <v>289073</v>
      </c>
      <c r="P124" s="1178">
        <v>289073</v>
      </c>
      <c r="Q124" s="1615">
        <f t="shared" si="93"/>
        <v>1</v>
      </c>
      <c r="R124" s="174"/>
      <c r="S124" s="175"/>
      <c r="T124" s="175"/>
      <c r="U124" s="176">
        <f t="shared" si="95"/>
        <v>296693</v>
      </c>
      <c r="V124" s="156"/>
      <c r="W124" s="156"/>
      <c r="X124" s="118"/>
      <c r="Y124" s="118"/>
      <c r="Z124" s="118"/>
      <c r="AA124" s="118"/>
      <c r="AB124" s="118"/>
      <c r="AC124" s="118"/>
      <c r="AD124" s="118"/>
    </row>
    <row r="125" spans="1:30">
      <c r="A125" s="184" t="s">
        <v>452</v>
      </c>
      <c r="B125" s="185"/>
      <c r="C125" s="184"/>
      <c r="D125" s="1181"/>
      <c r="E125" s="1181"/>
      <c r="F125" s="1617" t="str">
        <f t="shared" si="92"/>
        <v>-</v>
      </c>
      <c r="G125" s="186"/>
      <c r="H125" s="187"/>
      <c r="I125" s="187"/>
      <c r="J125" s="176">
        <f t="shared" si="94"/>
        <v>0</v>
      </c>
      <c r="K125" s="814"/>
      <c r="L125" s="184" t="s">
        <v>452</v>
      </c>
      <c r="M125" s="185"/>
      <c r="N125" s="184"/>
      <c r="O125" s="1181"/>
      <c r="P125" s="1181"/>
      <c r="Q125" s="1617" t="str">
        <f t="shared" si="93"/>
        <v>-</v>
      </c>
      <c r="R125" s="174"/>
      <c r="S125" s="187"/>
      <c r="T125" s="187"/>
      <c r="U125" s="176">
        <f t="shared" si="95"/>
        <v>0</v>
      </c>
      <c r="V125" s="156"/>
      <c r="W125" s="156"/>
      <c r="X125" s="118"/>
      <c r="Y125" s="118"/>
      <c r="Z125" s="118"/>
      <c r="AA125" s="118"/>
      <c r="AB125" s="118"/>
      <c r="AC125" s="118"/>
      <c r="AD125" s="118"/>
    </row>
    <row r="126" spans="1:30" ht="12.75" thickBot="1">
      <c r="A126" s="184" t="s">
        <v>453</v>
      </c>
      <c r="B126" s="185"/>
      <c r="C126" s="184"/>
      <c r="D126" s="1181"/>
      <c r="E126" s="1181"/>
      <c r="F126" s="1617" t="str">
        <f t="shared" si="92"/>
        <v>-</v>
      </c>
      <c r="G126" s="186"/>
      <c r="H126" s="187"/>
      <c r="I126" s="187"/>
      <c r="J126" s="176">
        <f t="shared" si="94"/>
        <v>0</v>
      </c>
      <c r="K126" s="814"/>
      <c r="L126" s="184" t="s">
        <v>453</v>
      </c>
      <c r="M126" s="185"/>
      <c r="N126" s="184"/>
      <c r="O126" s="1181"/>
      <c r="P126" s="1181"/>
      <c r="Q126" s="1617" t="str">
        <f t="shared" si="93"/>
        <v>-</v>
      </c>
      <c r="R126" s="186"/>
      <c r="S126" s="187"/>
      <c r="T126" s="187"/>
      <c r="U126" s="176">
        <f t="shared" si="95"/>
        <v>0</v>
      </c>
      <c r="V126" s="156"/>
      <c r="W126" s="156"/>
      <c r="X126" s="118"/>
      <c r="Y126" s="118"/>
      <c r="Z126" s="118"/>
      <c r="AA126" s="118"/>
      <c r="AB126" s="118"/>
      <c r="AC126" s="118"/>
      <c r="AD126" s="118"/>
    </row>
    <row r="127" spans="1:30" ht="12.75" thickBot="1">
      <c r="A127" s="155" t="s">
        <v>454</v>
      </c>
      <c r="B127" s="177">
        <f t="shared" ref="B127:J127" si="96">+B119+B120+B121+B122+B123+B124+B125+B126</f>
        <v>10864</v>
      </c>
      <c r="C127" s="155">
        <f t="shared" si="96"/>
        <v>8223</v>
      </c>
      <c r="D127" s="1180">
        <f t="shared" ref="D127:E127" si="97">+D119+D120+D121+D122+D123+D124+D125+D126</f>
        <v>4035</v>
      </c>
      <c r="E127" s="1180">
        <f t="shared" si="97"/>
        <v>4035</v>
      </c>
      <c r="F127" s="1616">
        <f t="shared" si="92"/>
        <v>1</v>
      </c>
      <c r="G127" s="179">
        <f t="shared" si="96"/>
        <v>1654</v>
      </c>
      <c r="H127" s="177">
        <f t="shared" si="96"/>
        <v>0</v>
      </c>
      <c r="I127" s="177">
        <f t="shared" si="96"/>
        <v>0</v>
      </c>
      <c r="J127" s="178">
        <f t="shared" si="96"/>
        <v>16553</v>
      </c>
      <c r="L127" s="155" t="s">
        <v>454</v>
      </c>
      <c r="M127" s="177">
        <f t="shared" ref="M127:U127" si="98">+M119+M120+M121+M122+M123+M124+M125+M126</f>
        <v>21253</v>
      </c>
      <c r="N127" s="155">
        <f t="shared" si="98"/>
        <v>398746</v>
      </c>
      <c r="O127" s="1180">
        <f t="shared" ref="O127:P127" si="99">+O119+O120+O121+O122+O123+O124+O125+O126</f>
        <v>363429</v>
      </c>
      <c r="P127" s="1180">
        <f t="shared" si="99"/>
        <v>363429</v>
      </c>
      <c r="Q127" s="1616">
        <f t="shared" si="93"/>
        <v>1</v>
      </c>
      <c r="R127" s="179">
        <f t="shared" si="98"/>
        <v>35318</v>
      </c>
      <c r="S127" s="177">
        <f t="shared" si="98"/>
        <v>0</v>
      </c>
      <c r="T127" s="177">
        <f t="shared" si="98"/>
        <v>0</v>
      </c>
      <c r="U127" s="178">
        <f t="shared" si="98"/>
        <v>420000</v>
      </c>
      <c r="V127" s="156"/>
      <c r="W127" s="156"/>
      <c r="Y127" s="814"/>
      <c r="AC127" s="814"/>
    </row>
    <row r="128" spans="1:30">
      <c r="A128" s="156"/>
      <c r="B128" s="156"/>
      <c r="C128" s="156"/>
      <c r="D128" s="156"/>
      <c r="E128" s="156"/>
      <c r="F128" s="156"/>
      <c r="G128" s="156"/>
      <c r="H128" s="156"/>
      <c r="I128" s="156"/>
      <c r="J128" s="156"/>
      <c r="K128" s="814"/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</row>
    <row r="130" spans="1:30" s="807" customFormat="1" ht="15.75">
      <c r="A130" s="154" t="s">
        <v>1226</v>
      </c>
      <c r="B130" s="1821" t="s">
        <v>1233</v>
      </c>
      <c r="C130" s="1821"/>
      <c r="D130" s="1821"/>
      <c r="E130" s="1821"/>
      <c r="F130" s="1821"/>
      <c r="G130" s="1821"/>
      <c r="H130" s="1821"/>
      <c r="I130" s="1821"/>
      <c r="J130" s="1821"/>
      <c r="K130" s="719"/>
      <c r="L130" s="154" t="s">
        <v>1228</v>
      </c>
      <c r="M130" s="1821" t="s">
        <v>1235</v>
      </c>
      <c r="N130" s="1821"/>
      <c r="O130" s="1821"/>
      <c r="P130" s="1821"/>
      <c r="Q130" s="1821"/>
      <c r="R130" s="1821"/>
      <c r="S130" s="1821"/>
      <c r="T130" s="1821"/>
      <c r="U130" s="1821"/>
      <c r="V130" s="1767"/>
      <c r="W130" s="1767"/>
    </row>
    <row r="131" spans="1:30" s="807" customFormat="1" ht="15.75" customHeight="1">
      <c r="A131" s="1819" t="s">
        <v>1236</v>
      </c>
      <c r="B131" s="1819"/>
      <c r="C131" s="1819"/>
      <c r="D131" s="1819"/>
      <c r="E131" s="1819"/>
      <c r="F131" s="1819"/>
      <c r="G131" s="1819"/>
      <c r="H131" s="1819"/>
      <c r="I131" s="1819"/>
      <c r="J131" s="1819"/>
      <c r="K131" s="719"/>
      <c r="L131" s="1819" t="s">
        <v>1237</v>
      </c>
      <c r="M131" s="1819"/>
      <c r="N131" s="1819"/>
      <c r="O131" s="1819"/>
      <c r="P131" s="1819"/>
      <c r="Q131" s="1819"/>
      <c r="R131" s="1819"/>
      <c r="S131" s="1819"/>
      <c r="T131" s="1819"/>
      <c r="U131" s="1819"/>
      <c r="V131" s="1766"/>
      <c r="W131" s="1766"/>
    </row>
    <row r="132" spans="1:30" s="807" customFormat="1" ht="15.75">
      <c r="A132" s="1818" t="s">
        <v>1120</v>
      </c>
      <c r="B132" s="1818"/>
      <c r="C132" s="1818"/>
      <c r="D132" s="1818"/>
      <c r="E132" s="1818"/>
      <c r="F132" s="1818"/>
      <c r="G132" s="1818"/>
      <c r="H132" s="1818"/>
      <c r="I132" s="1818"/>
      <c r="J132" s="1818"/>
      <c r="K132" s="719"/>
      <c r="L132" s="1818" t="s">
        <v>1238</v>
      </c>
      <c r="M132" s="1818"/>
      <c r="N132" s="1818"/>
      <c r="O132" s="1818"/>
      <c r="P132" s="1818"/>
      <c r="Q132" s="1818"/>
      <c r="R132" s="1818"/>
      <c r="S132" s="1818"/>
      <c r="T132" s="1818"/>
      <c r="U132" s="1818"/>
      <c r="V132" s="1765"/>
      <c r="W132" s="1765"/>
    </row>
    <row r="133" spans="1:30" s="810" customFormat="1" ht="12.75" thickBot="1">
      <c r="A133" s="809"/>
      <c r="B133" s="809"/>
      <c r="G133" s="809"/>
      <c r="H133" s="809"/>
      <c r="J133" s="199" t="s">
        <v>281</v>
      </c>
      <c r="K133" s="811"/>
      <c r="L133" s="809"/>
      <c r="M133" s="809"/>
      <c r="N133" s="809"/>
      <c r="O133" s="809"/>
      <c r="P133" s="809"/>
      <c r="Q133" s="809"/>
      <c r="R133" s="809"/>
      <c r="S133" s="809"/>
      <c r="U133" s="199" t="s">
        <v>281</v>
      </c>
      <c r="V133" s="797"/>
      <c r="W133" s="797"/>
    </row>
    <row r="134" spans="1:30" s="813" customFormat="1" ht="36.75" thickBot="1">
      <c r="A134" s="353" t="s">
        <v>432</v>
      </c>
      <c r="B134" s="354" t="s">
        <v>1314</v>
      </c>
      <c r="C134" s="1612" t="s">
        <v>1553</v>
      </c>
      <c r="D134" s="881" t="s">
        <v>1554</v>
      </c>
      <c r="E134" s="881" t="s">
        <v>2646</v>
      </c>
      <c r="F134" s="1613" t="s">
        <v>2645</v>
      </c>
      <c r="G134" s="335" t="s">
        <v>461</v>
      </c>
      <c r="H134" s="336" t="s">
        <v>462</v>
      </c>
      <c r="I134" s="336" t="s">
        <v>1313</v>
      </c>
      <c r="J134" s="1769" t="s">
        <v>18</v>
      </c>
      <c r="K134" s="816"/>
      <c r="L134" s="353" t="s">
        <v>432</v>
      </c>
      <c r="M134" s="354" t="s">
        <v>1314</v>
      </c>
      <c r="N134" s="1612" t="s">
        <v>1553</v>
      </c>
      <c r="O134" s="881" t="s">
        <v>1554</v>
      </c>
      <c r="P134" s="881" t="s">
        <v>2646</v>
      </c>
      <c r="Q134" s="1613" t="s">
        <v>2645</v>
      </c>
      <c r="R134" s="335" t="s">
        <v>461</v>
      </c>
      <c r="S134" s="336" t="s">
        <v>462</v>
      </c>
      <c r="T134" s="336" t="s">
        <v>1313</v>
      </c>
      <c r="U134" s="1769" t="s">
        <v>18</v>
      </c>
      <c r="V134" s="798"/>
      <c r="W134" s="798"/>
    </row>
    <row r="135" spans="1:30">
      <c r="A135" s="162" t="s">
        <v>433</v>
      </c>
      <c r="B135" s="163">
        <f t="shared" ref="B135:J135" si="100">+B152-B140-B139-B138-B137</f>
        <v>-57792</v>
      </c>
      <c r="C135" s="1174">
        <f t="shared" si="100"/>
        <v>57792</v>
      </c>
      <c r="D135" s="1175">
        <f t="shared" ref="D135:E135" si="101">+D152-D140-D139-D138-D137</f>
        <v>27717</v>
      </c>
      <c r="E135" s="1175">
        <f t="shared" si="101"/>
        <v>27717</v>
      </c>
      <c r="F135" s="1614">
        <f t="shared" ref="F135:F141" si="102">IF(ISERROR(E135/D135),"-",E135/D135)</f>
        <v>1</v>
      </c>
      <c r="G135" s="164">
        <f t="shared" si="100"/>
        <v>30075</v>
      </c>
      <c r="H135" s="165">
        <f t="shared" si="100"/>
        <v>0</v>
      </c>
      <c r="I135" s="165">
        <f t="shared" si="100"/>
        <v>0</v>
      </c>
      <c r="J135" s="166">
        <f t="shared" si="100"/>
        <v>0</v>
      </c>
      <c r="K135" s="814"/>
      <c r="L135" s="162" t="s">
        <v>433</v>
      </c>
      <c r="M135" s="163">
        <f t="shared" ref="M135:U135" si="103">+M152-M140-M139-M138-M137</f>
        <v>-342083</v>
      </c>
      <c r="N135" s="1174">
        <f t="shared" si="103"/>
        <v>387099</v>
      </c>
      <c r="O135" s="1175">
        <f t="shared" ref="O135:P135" si="104">+O152-O140-O139-O138-O137</f>
        <v>374946</v>
      </c>
      <c r="P135" s="1175">
        <f t="shared" si="104"/>
        <v>374946</v>
      </c>
      <c r="Q135" s="1614">
        <f t="shared" ref="Q135:Q141" si="105">IF(ISERROR(P135/O135),"-",P135/O135)</f>
        <v>1</v>
      </c>
      <c r="R135" s="164">
        <f t="shared" si="103"/>
        <v>-32863</v>
      </c>
      <c r="S135" s="165">
        <f t="shared" si="103"/>
        <v>0</v>
      </c>
      <c r="T135" s="165">
        <f t="shared" si="103"/>
        <v>0</v>
      </c>
      <c r="U135" s="166">
        <f t="shared" si="103"/>
        <v>0</v>
      </c>
      <c r="V135" s="156"/>
      <c r="W135" s="156"/>
    </row>
    <row r="136" spans="1:30">
      <c r="A136" s="167" t="s">
        <v>434</v>
      </c>
      <c r="B136" s="168"/>
      <c r="C136" s="1176"/>
      <c r="D136" s="1177"/>
      <c r="E136" s="1177"/>
      <c r="F136" s="1615" t="str">
        <f t="shared" si="102"/>
        <v>-</v>
      </c>
      <c r="G136" s="169"/>
      <c r="H136" s="170"/>
      <c r="I136" s="170"/>
      <c r="J136" s="171">
        <f>+B136+IF(D136&lt;=E136,E136,D136)+G136+H136+I136</f>
        <v>0</v>
      </c>
      <c r="K136" s="814"/>
      <c r="L136" s="167" t="s">
        <v>434</v>
      </c>
      <c r="M136" s="168"/>
      <c r="N136" s="1176"/>
      <c r="O136" s="1177"/>
      <c r="P136" s="1177"/>
      <c r="Q136" s="1615" t="str">
        <f t="shared" si="105"/>
        <v>-</v>
      </c>
      <c r="R136" s="169"/>
      <c r="S136" s="170"/>
      <c r="T136" s="170"/>
      <c r="U136" s="171">
        <f>+M136+IF(O136&lt;=P136,P136,O136)+R136+S136+T136</f>
        <v>0</v>
      </c>
      <c r="V136" s="799"/>
      <c r="W136" s="799"/>
      <c r="X136" s="118"/>
      <c r="AB136" s="118"/>
    </row>
    <row r="137" spans="1:30">
      <c r="A137" s="172" t="s">
        <v>435</v>
      </c>
      <c r="B137" s="173">
        <v>62642</v>
      </c>
      <c r="C137" s="182"/>
      <c r="D137" s="1178"/>
      <c r="E137" s="1178"/>
      <c r="F137" s="1615" t="str">
        <f t="shared" si="102"/>
        <v>-</v>
      </c>
      <c r="G137" s="174"/>
      <c r="H137" s="175"/>
      <c r="I137" s="175"/>
      <c r="J137" s="176">
        <f t="shared" ref="J137:J140" si="106">+B137+IF(D137&lt;=E137,E137,D137)+G137+H137+I137</f>
        <v>62642</v>
      </c>
      <c r="K137" s="814"/>
      <c r="L137" s="172" t="s">
        <v>435</v>
      </c>
      <c r="M137" s="173">
        <v>342083</v>
      </c>
      <c r="N137" s="182"/>
      <c r="O137" s="1178"/>
      <c r="P137" s="1178"/>
      <c r="Q137" s="1615" t="str">
        <f t="shared" si="105"/>
        <v>-</v>
      </c>
      <c r="R137" s="174">
        <v>730327</v>
      </c>
      <c r="S137" s="175"/>
      <c r="T137" s="175"/>
      <c r="U137" s="176">
        <f t="shared" ref="U137:U140" si="107">+M137+IF(O137&lt;=P137,P137,O137)+R137+S137+T137</f>
        <v>1072410</v>
      </c>
      <c r="V137" s="156"/>
      <c r="W137" s="156"/>
      <c r="X137" s="118"/>
      <c r="Y137" s="118"/>
      <c r="Z137" s="118"/>
      <c r="AA137" s="118"/>
      <c r="AB137" s="118"/>
      <c r="AC137" s="118"/>
      <c r="AD137" s="118"/>
    </row>
    <row r="138" spans="1:30">
      <c r="A138" s="172" t="s">
        <v>436</v>
      </c>
      <c r="B138" s="173"/>
      <c r="C138" s="182"/>
      <c r="D138" s="1178"/>
      <c r="E138" s="1178"/>
      <c r="F138" s="1615" t="str">
        <f t="shared" si="102"/>
        <v>-</v>
      </c>
      <c r="G138" s="174"/>
      <c r="H138" s="175"/>
      <c r="I138" s="175"/>
      <c r="J138" s="176">
        <f t="shared" si="106"/>
        <v>0</v>
      </c>
      <c r="K138" s="814"/>
      <c r="L138" s="172" t="s">
        <v>436</v>
      </c>
      <c r="M138" s="173"/>
      <c r="N138" s="182"/>
      <c r="O138" s="1178"/>
      <c r="P138" s="1178"/>
      <c r="Q138" s="1615" t="str">
        <f t="shared" si="105"/>
        <v>-</v>
      </c>
      <c r="R138" s="174"/>
      <c r="S138" s="175"/>
      <c r="T138" s="175"/>
      <c r="U138" s="176">
        <f t="shared" si="107"/>
        <v>0</v>
      </c>
      <c r="V138" s="156"/>
      <c r="W138" s="156"/>
      <c r="X138" s="118"/>
      <c r="AB138" s="118"/>
    </row>
    <row r="139" spans="1:30">
      <c r="A139" s="172" t="s">
        <v>437</v>
      </c>
      <c r="B139" s="173"/>
      <c r="C139" s="182"/>
      <c r="D139" s="1178"/>
      <c r="E139" s="1178"/>
      <c r="F139" s="1615" t="str">
        <f t="shared" si="102"/>
        <v>-</v>
      </c>
      <c r="G139" s="174"/>
      <c r="H139" s="175"/>
      <c r="I139" s="175"/>
      <c r="J139" s="176">
        <f t="shared" si="106"/>
        <v>0</v>
      </c>
      <c r="K139" s="814"/>
      <c r="L139" s="172" t="s">
        <v>437</v>
      </c>
      <c r="M139" s="173"/>
      <c r="N139" s="182"/>
      <c r="O139" s="1178"/>
      <c r="P139" s="1178"/>
      <c r="Q139" s="1615" t="str">
        <f t="shared" si="105"/>
        <v>-</v>
      </c>
      <c r="R139" s="174"/>
      <c r="S139" s="175"/>
      <c r="T139" s="175"/>
      <c r="U139" s="176">
        <f t="shared" si="107"/>
        <v>0</v>
      </c>
      <c r="V139" s="156"/>
      <c r="W139" s="156"/>
      <c r="X139" s="118"/>
      <c r="AB139" s="118"/>
    </row>
    <row r="140" spans="1:30" ht="12.75" thickBot="1">
      <c r="A140" s="172" t="s">
        <v>438</v>
      </c>
      <c r="B140" s="173"/>
      <c r="C140" s="182"/>
      <c r="D140" s="1178"/>
      <c r="E140" s="1178"/>
      <c r="F140" s="1615" t="str">
        <f t="shared" si="102"/>
        <v>-</v>
      </c>
      <c r="G140" s="174"/>
      <c r="H140" s="175"/>
      <c r="I140" s="175"/>
      <c r="J140" s="176">
        <f t="shared" si="106"/>
        <v>0</v>
      </c>
      <c r="K140" s="814"/>
      <c r="L140" s="172" t="s">
        <v>438</v>
      </c>
      <c r="M140" s="173"/>
      <c r="N140" s="182"/>
      <c r="O140" s="1178"/>
      <c r="P140" s="1178"/>
      <c r="Q140" s="1615" t="str">
        <f t="shared" si="105"/>
        <v>-</v>
      </c>
      <c r="R140" s="174">
        <v>160300</v>
      </c>
      <c r="S140" s="175"/>
      <c r="T140" s="175"/>
      <c r="U140" s="176">
        <f t="shared" si="107"/>
        <v>160300</v>
      </c>
      <c r="V140" s="156"/>
      <c r="W140" s="156"/>
      <c r="X140" s="118"/>
      <c r="AB140" s="118"/>
    </row>
    <row r="141" spans="1:30" ht="12.75" thickBot="1">
      <c r="A141" s="155" t="s">
        <v>439</v>
      </c>
      <c r="B141" s="177">
        <f t="shared" ref="B141:J141" si="108">+B135+B137+B138+B139+B140</f>
        <v>4850</v>
      </c>
      <c r="C141" s="155">
        <f t="shared" si="108"/>
        <v>57792</v>
      </c>
      <c r="D141" s="1180">
        <f t="shared" ref="D141:E141" si="109">+D135+D137+D138+D139+D140</f>
        <v>27717</v>
      </c>
      <c r="E141" s="1180">
        <f t="shared" si="109"/>
        <v>27717</v>
      </c>
      <c r="F141" s="1616">
        <f t="shared" si="102"/>
        <v>1</v>
      </c>
      <c r="G141" s="179">
        <f t="shared" si="108"/>
        <v>30075</v>
      </c>
      <c r="H141" s="177">
        <f t="shared" si="108"/>
        <v>0</v>
      </c>
      <c r="I141" s="177">
        <f t="shared" si="108"/>
        <v>0</v>
      </c>
      <c r="J141" s="178">
        <f t="shared" si="108"/>
        <v>62642</v>
      </c>
      <c r="K141" s="814"/>
      <c r="L141" s="155" t="s">
        <v>439</v>
      </c>
      <c r="M141" s="177">
        <f t="shared" ref="M141:U141" si="110">+M135+M137+M138+M139+M140</f>
        <v>0</v>
      </c>
      <c r="N141" s="155">
        <f t="shared" si="110"/>
        <v>387099</v>
      </c>
      <c r="O141" s="1180">
        <f t="shared" ref="O141:P141" si="111">+O135+O137+O138+O139+O140</f>
        <v>374946</v>
      </c>
      <c r="P141" s="1180">
        <f t="shared" si="111"/>
        <v>374946</v>
      </c>
      <c r="Q141" s="1616">
        <f t="shared" si="105"/>
        <v>1</v>
      </c>
      <c r="R141" s="179">
        <f t="shared" si="110"/>
        <v>857764</v>
      </c>
      <c r="S141" s="177">
        <f t="shared" si="110"/>
        <v>0</v>
      </c>
      <c r="T141" s="177">
        <f t="shared" si="110"/>
        <v>0</v>
      </c>
      <c r="U141" s="178">
        <f t="shared" si="110"/>
        <v>1232710</v>
      </c>
      <c r="V141" s="156"/>
      <c r="W141" s="156"/>
    </row>
    <row r="142" spans="1:30" ht="12.75" thickBot="1">
      <c r="A142" s="180"/>
      <c r="B142" s="180"/>
      <c r="C142" s="180"/>
      <c r="D142" s="180"/>
      <c r="E142" s="180"/>
      <c r="F142" s="180"/>
      <c r="G142" s="180"/>
      <c r="H142" s="180"/>
      <c r="I142" s="180"/>
      <c r="J142" s="180"/>
      <c r="K142" s="814"/>
      <c r="L142" s="180"/>
      <c r="M142" s="180"/>
      <c r="N142" s="180"/>
      <c r="O142" s="180"/>
      <c r="P142" s="180"/>
      <c r="Q142" s="180"/>
      <c r="R142" s="180"/>
      <c r="S142" s="180"/>
      <c r="T142" s="180"/>
      <c r="U142" s="180"/>
      <c r="V142" s="180"/>
      <c r="W142" s="180"/>
    </row>
    <row r="143" spans="1:30" s="813" customFormat="1" ht="36.75" thickBot="1">
      <c r="A143" s="353" t="s">
        <v>440</v>
      </c>
      <c r="B143" s="354" t="s">
        <v>1314</v>
      </c>
      <c r="C143" s="1612" t="s">
        <v>1553</v>
      </c>
      <c r="D143" s="881" t="s">
        <v>1554</v>
      </c>
      <c r="E143" s="881" t="s">
        <v>2646</v>
      </c>
      <c r="F143" s="1613" t="s">
        <v>2645</v>
      </c>
      <c r="G143" s="335" t="s">
        <v>461</v>
      </c>
      <c r="H143" s="336" t="s">
        <v>462</v>
      </c>
      <c r="I143" s="336" t="s">
        <v>1313</v>
      </c>
      <c r="J143" s="1769" t="s">
        <v>18</v>
      </c>
      <c r="K143" s="816"/>
      <c r="L143" s="353" t="s">
        <v>440</v>
      </c>
      <c r="M143" s="354" t="s">
        <v>1314</v>
      </c>
      <c r="N143" s="1612" t="s">
        <v>1553</v>
      </c>
      <c r="O143" s="881" t="s">
        <v>1554</v>
      </c>
      <c r="P143" s="881" t="s">
        <v>2646</v>
      </c>
      <c r="Q143" s="1613" t="s">
        <v>2645</v>
      </c>
      <c r="R143" s="335" t="s">
        <v>461</v>
      </c>
      <c r="S143" s="336" t="s">
        <v>462</v>
      </c>
      <c r="T143" s="336" t="s">
        <v>1313</v>
      </c>
      <c r="U143" s="1769" t="s">
        <v>18</v>
      </c>
      <c r="V143" s="798"/>
      <c r="W143" s="798"/>
    </row>
    <row r="144" spans="1:30">
      <c r="A144" s="162" t="s">
        <v>446</v>
      </c>
      <c r="B144" s="163"/>
      <c r="C144" s="1174"/>
      <c r="D144" s="1175"/>
      <c r="E144" s="1175"/>
      <c r="F144" s="1614" t="str">
        <f t="shared" ref="F144:F152" si="112">IF(ISERROR(E144/D144),"-",E144/D144)</f>
        <v>-</v>
      </c>
      <c r="G144" s="164"/>
      <c r="H144" s="165"/>
      <c r="I144" s="165"/>
      <c r="J144" s="166">
        <f>+B144+IF(D144&lt;=E144,E144,D144)+G144+H144+I144</f>
        <v>0</v>
      </c>
      <c r="K144" s="814"/>
      <c r="L144" s="162" t="s">
        <v>446</v>
      </c>
      <c r="M144" s="163"/>
      <c r="N144" s="1174"/>
      <c r="O144" s="1175"/>
      <c r="P144" s="1175"/>
      <c r="Q144" s="1614" t="str">
        <f t="shared" ref="Q144:Q152" si="113">IF(ISERROR(P144/O144),"-",P144/O144)</f>
        <v>-</v>
      </c>
      <c r="R144" s="164"/>
      <c r="S144" s="165"/>
      <c r="T144" s="165"/>
      <c r="U144" s="166">
        <f>+M144+IF(O144&lt;=P144,P144,O144)+R144+S144+T144</f>
        <v>0</v>
      </c>
      <c r="V144" s="156"/>
      <c r="W144" s="156"/>
      <c r="X144" s="118"/>
      <c r="Y144" s="118"/>
      <c r="Z144" s="118"/>
      <c r="AA144" s="118"/>
      <c r="AB144" s="118"/>
      <c r="AC144" s="118"/>
      <c r="AD144" s="118"/>
    </row>
    <row r="145" spans="1:30">
      <c r="A145" s="181" t="s">
        <v>447</v>
      </c>
      <c r="B145" s="173"/>
      <c r="C145" s="182"/>
      <c r="D145" s="1178"/>
      <c r="E145" s="1178"/>
      <c r="F145" s="1615" t="str">
        <f t="shared" si="112"/>
        <v>-</v>
      </c>
      <c r="G145" s="174"/>
      <c r="H145" s="175"/>
      <c r="I145" s="175"/>
      <c r="J145" s="176">
        <f t="shared" ref="J145:J151" si="114">+B145+IF(D145&lt;=E145,E145,D145)+G145+H145+I145</f>
        <v>0</v>
      </c>
      <c r="K145" s="814"/>
      <c r="L145" s="181" t="s">
        <v>447</v>
      </c>
      <c r="M145" s="173"/>
      <c r="N145" s="182"/>
      <c r="O145" s="1178"/>
      <c r="P145" s="1178"/>
      <c r="Q145" s="1615" t="str">
        <f t="shared" si="113"/>
        <v>-</v>
      </c>
      <c r="R145" s="174"/>
      <c r="S145" s="175"/>
      <c r="T145" s="175"/>
      <c r="U145" s="176">
        <f t="shared" ref="U145:U151" si="115">+M145+IF(O145&lt;=P145,P145,O145)+R145+S145+T145</f>
        <v>0</v>
      </c>
      <c r="V145" s="156"/>
      <c r="W145" s="156"/>
      <c r="X145" s="118"/>
      <c r="Y145" s="118"/>
      <c r="Z145" s="118"/>
      <c r="AA145" s="118"/>
      <c r="AB145" s="118"/>
      <c r="AC145" s="118"/>
      <c r="AD145" s="118"/>
    </row>
    <row r="146" spans="1:30">
      <c r="A146" s="172" t="s">
        <v>448</v>
      </c>
      <c r="B146" s="173">
        <v>2283</v>
      </c>
      <c r="C146" s="182"/>
      <c r="D146" s="1178">
        <v>468</v>
      </c>
      <c r="E146" s="1178">
        <v>468</v>
      </c>
      <c r="F146" s="1615">
        <f t="shared" si="112"/>
        <v>1</v>
      </c>
      <c r="G146" s="174"/>
      <c r="H146" s="175"/>
      <c r="I146" s="175"/>
      <c r="J146" s="176">
        <f t="shared" si="114"/>
        <v>2751</v>
      </c>
      <c r="K146" s="814"/>
      <c r="L146" s="172" t="s">
        <v>448</v>
      </c>
      <c r="M146" s="173"/>
      <c r="N146" s="182"/>
      <c r="O146" s="1178"/>
      <c r="P146" s="1178"/>
      <c r="Q146" s="1615" t="str">
        <f t="shared" si="113"/>
        <v>-</v>
      </c>
      <c r="R146" s="174"/>
      <c r="S146" s="175"/>
      <c r="T146" s="175"/>
      <c r="U146" s="176">
        <f t="shared" si="115"/>
        <v>0</v>
      </c>
      <c r="V146" s="156"/>
      <c r="W146" s="156"/>
      <c r="X146" s="118"/>
      <c r="Y146" s="118"/>
      <c r="Z146" s="118"/>
      <c r="AA146" s="118"/>
      <c r="AB146" s="118"/>
      <c r="AC146" s="118"/>
      <c r="AD146" s="118"/>
    </row>
    <row r="147" spans="1:30">
      <c r="A147" s="172" t="s">
        <v>449</v>
      </c>
      <c r="B147" s="173"/>
      <c r="C147" s="182"/>
      <c r="D147" s="1178"/>
      <c r="E147" s="1178"/>
      <c r="F147" s="1615" t="str">
        <f t="shared" si="112"/>
        <v>-</v>
      </c>
      <c r="G147" s="174"/>
      <c r="H147" s="175"/>
      <c r="I147" s="175"/>
      <c r="J147" s="176">
        <f t="shared" si="114"/>
        <v>0</v>
      </c>
      <c r="K147" s="814"/>
      <c r="L147" s="172" t="s">
        <v>449</v>
      </c>
      <c r="M147" s="173"/>
      <c r="N147" s="182"/>
      <c r="O147" s="1178"/>
      <c r="P147" s="1178"/>
      <c r="Q147" s="1615" t="str">
        <f t="shared" si="113"/>
        <v>-</v>
      </c>
      <c r="R147" s="174"/>
      <c r="S147" s="175"/>
      <c r="T147" s="175"/>
      <c r="U147" s="176">
        <f t="shared" si="115"/>
        <v>0</v>
      </c>
      <c r="V147" s="156"/>
      <c r="W147" s="156"/>
      <c r="X147" s="118"/>
      <c r="Z147" s="118"/>
      <c r="AA147" s="118"/>
      <c r="AB147" s="118"/>
      <c r="AD147" s="118"/>
    </row>
    <row r="148" spans="1:30">
      <c r="A148" s="182" t="s">
        <v>450</v>
      </c>
      <c r="B148" s="183"/>
      <c r="C148" s="182">
        <v>57792</v>
      </c>
      <c r="D148" s="1178">
        <v>0</v>
      </c>
      <c r="E148" s="1178"/>
      <c r="F148" s="1615" t="str">
        <f t="shared" si="112"/>
        <v>-</v>
      </c>
      <c r="G148" s="174">
        <v>30075</v>
      </c>
      <c r="H148" s="175"/>
      <c r="I148" s="175"/>
      <c r="J148" s="176">
        <f t="shared" si="114"/>
        <v>30075</v>
      </c>
      <c r="K148" s="814"/>
      <c r="L148" s="182" t="s">
        <v>450</v>
      </c>
      <c r="M148" s="183"/>
      <c r="N148" s="182">
        <v>387099</v>
      </c>
      <c r="O148" s="1178">
        <v>0</v>
      </c>
      <c r="P148" s="1178"/>
      <c r="Q148" s="1615" t="str">
        <f t="shared" si="113"/>
        <v>-</v>
      </c>
      <c r="R148" s="174"/>
      <c r="S148" s="175"/>
      <c r="T148" s="175"/>
      <c r="U148" s="176">
        <f t="shared" si="115"/>
        <v>0</v>
      </c>
      <c r="V148" s="156"/>
      <c r="W148" s="156"/>
      <c r="X148" s="118"/>
      <c r="Y148" s="118"/>
      <c r="Z148" s="118"/>
      <c r="AA148" s="118"/>
      <c r="AB148" s="118"/>
      <c r="AC148" s="118"/>
      <c r="AD148" s="118"/>
    </row>
    <row r="149" spans="1:30">
      <c r="A149" s="182" t="s">
        <v>451</v>
      </c>
      <c r="B149" s="183"/>
      <c r="C149" s="182"/>
      <c r="D149" s="1178"/>
      <c r="E149" s="1178"/>
      <c r="F149" s="1615" t="str">
        <f t="shared" si="112"/>
        <v>-</v>
      </c>
      <c r="G149" s="174"/>
      <c r="H149" s="175"/>
      <c r="I149" s="175"/>
      <c r="J149" s="176">
        <f t="shared" si="114"/>
        <v>0</v>
      </c>
      <c r="K149" s="814"/>
      <c r="L149" s="182" t="s">
        <v>451</v>
      </c>
      <c r="M149" s="183"/>
      <c r="N149" s="182"/>
      <c r="O149" s="1178">
        <v>374946</v>
      </c>
      <c r="P149" s="1178">
        <v>374946</v>
      </c>
      <c r="Q149" s="1615">
        <f t="shared" si="113"/>
        <v>1</v>
      </c>
      <c r="R149" s="174">
        <f>127437+730327</f>
        <v>857764</v>
      </c>
      <c r="S149" s="175"/>
      <c r="T149" s="175"/>
      <c r="U149" s="176">
        <f t="shared" si="115"/>
        <v>1232710</v>
      </c>
      <c r="V149" s="156"/>
      <c r="W149" s="156"/>
      <c r="X149" s="118"/>
      <c r="Y149" s="118"/>
      <c r="Z149" s="118"/>
      <c r="AA149" s="118"/>
      <c r="AB149" s="118"/>
      <c r="AC149" s="118"/>
      <c r="AD149" s="118"/>
    </row>
    <row r="150" spans="1:30">
      <c r="A150" s="184" t="s">
        <v>452</v>
      </c>
      <c r="B150" s="185">
        <v>2567</v>
      </c>
      <c r="C150" s="184"/>
      <c r="D150" s="1181">
        <v>27249</v>
      </c>
      <c r="E150" s="1181">
        <v>27249</v>
      </c>
      <c r="F150" s="1617">
        <f t="shared" si="112"/>
        <v>1</v>
      </c>
      <c r="G150" s="186"/>
      <c r="H150" s="187"/>
      <c r="I150" s="187"/>
      <c r="J150" s="176">
        <f t="shared" si="114"/>
        <v>29816</v>
      </c>
      <c r="K150" s="814"/>
      <c r="L150" s="184" t="s">
        <v>452</v>
      </c>
      <c r="M150" s="185"/>
      <c r="N150" s="184"/>
      <c r="O150" s="1181"/>
      <c r="P150" s="1181"/>
      <c r="Q150" s="1617" t="str">
        <f t="shared" si="113"/>
        <v>-</v>
      </c>
      <c r="R150" s="174"/>
      <c r="S150" s="187"/>
      <c r="T150" s="187"/>
      <c r="U150" s="176">
        <f t="shared" si="115"/>
        <v>0</v>
      </c>
      <c r="V150" s="156"/>
      <c r="W150" s="156"/>
      <c r="X150" s="118"/>
      <c r="Y150" s="118"/>
      <c r="Z150" s="118"/>
      <c r="AA150" s="118"/>
      <c r="AB150" s="118"/>
      <c r="AC150" s="118"/>
      <c r="AD150" s="118"/>
    </row>
    <row r="151" spans="1:30" ht="12.75" thickBot="1">
      <c r="A151" s="184" t="s">
        <v>453</v>
      </c>
      <c r="B151" s="185"/>
      <c r="C151" s="184"/>
      <c r="D151" s="1181"/>
      <c r="E151" s="1181"/>
      <c r="F151" s="1617" t="str">
        <f t="shared" si="112"/>
        <v>-</v>
      </c>
      <c r="G151" s="186"/>
      <c r="H151" s="187"/>
      <c r="I151" s="187"/>
      <c r="J151" s="176">
        <f t="shared" si="114"/>
        <v>0</v>
      </c>
      <c r="K151" s="814"/>
      <c r="L151" s="184" t="s">
        <v>453</v>
      </c>
      <c r="M151" s="185"/>
      <c r="N151" s="184"/>
      <c r="O151" s="1181"/>
      <c r="P151" s="1181"/>
      <c r="Q151" s="1617" t="str">
        <f t="shared" si="113"/>
        <v>-</v>
      </c>
      <c r="R151" s="186"/>
      <c r="S151" s="187"/>
      <c r="T151" s="187"/>
      <c r="U151" s="176">
        <f t="shared" si="115"/>
        <v>0</v>
      </c>
      <c r="V151" s="156"/>
      <c r="W151" s="156"/>
      <c r="X151" s="118"/>
      <c r="Y151" s="118"/>
      <c r="Z151" s="118"/>
      <c r="AA151" s="118"/>
      <c r="AB151" s="118"/>
      <c r="AC151" s="118"/>
      <c r="AD151" s="118"/>
    </row>
    <row r="152" spans="1:30" ht="12.75" thickBot="1">
      <c r="A152" s="155" t="s">
        <v>454</v>
      </c>
      <c r="B152" s="177">
        <f t="shared" ref="B152:J152" si="116">+B144+B145+B146+B147+B148+B149+B150+B151</f>
        <v>4850</v>
      </c>
      <c r="C152" s="155">
        <f t="shared" si="116"/>
        <v>57792</v>
      </c>
      <c r="D152" s="1180">
        <f t="shared" ref="D152:E152" si="117">+D144+D145+D146+D147+D148+D149+D150+D151</f>
        <v>27717</v>
      </c>
      <c r="E152" s="1180">
        <f t="shared" si="117"/>
        <v>27717</v>
      </c>
      <c r="F152" s="1616">
        <f t="shared" si="112"/>
        <v>1</v>
      </c>
      <c r="G152" s="179">
        <f t="shared" si="116"/>
        <v>30075</v>
      </c>
      <c r="H152" s="177">
        <f t="shared" si="116"/>
        <v>0</v>
      </c>
      <c r="I152" s="177">
        <f t="shared" si="116"/>
        <v>0</v>
      </c>
      <c r="J152" s="178">
        <f t="shared" si="116"/>
        <v>62642</v>
      </c>
      <c r="L152" s="155" t="s">
        <v>454</v>
      </c>
      <c r="M152" s="177">
        <f t="shared" ref="M152:U152" si="118">+M144+M145+M146+M147+M148+M149+M150+M151</f>
        <v>0</v>
      </c>
      <c r="N152" s="155">
        <f t="shared" si="118"/>
        <v>387099</v>
      </c>
      <c r="O152" s="1180">
        <f t="shared" ref="O152:P152" si="119">+O144+O145+O146+O147+O148+O149+O150+O151</f>
        <v>374946</v>
      </c>
      <c r="P152" s="1180">
        <f t="shared" si="119"/>
        <v>374946</v>
      </c>
      <c r="Q152" s="1616">
        <f t="shared" si="113"/>
        <v>1</v>
      </c>
      <c r="R152" s="179">
        <f t="shared" si="118"/>
        <v>857764</v>
      </c>
      <c r="S152" s="177">
        <f t="shared" si="118"/>
        <v>0</v>
      </c>
      <c r="T152" s="177">
        <f t="shared" si="118"/>
        <v>0</v>
      </c>
      <c r="U152" s="178">
        <f t="shared" si="118"/>
        <v>1232710</v>
      </c>
      <c r="V152" s="156"/>
      <c r="W152" s="156"/>
      <c r="Y152" s="814"/>
      <c r="AC152" s="814"/>
    </row>
    <row r="153" spans="1:30">
      <c r="A153" s="156"/>
      <c r="B153" s="156"/>
      <c r="C153" s="156"/>
      <c r="D153" s="156"/>
      <c r="E153" s="156"/>
      <c r="F153" s="156"/>
      <c r="G153" s="156"/>
      <c r="H153" s="156"/>
      <c r="I153" s="156"/>
      <c r="J153" s="156"/>
      <c r="K153" s="814"/>
      <c r="L153" s="156"/>
      <c r="M153" s="156"/>
      <c r="N153" s="156"/>
      <c r="O153" s="156"/>
      <c r="P153" s="156"/>
      <c r="Q153" s="156"/>
      <c r="R153" s="156"/>
      <c r="S153" s="156"/>
      <c r="T153" s="156"/>
      <c r="U153" s="156"/>
      <c r="V153" s="156"/>
      <c r="W153" s="156"/>
    </row>
    <row r="155" spans="1:30" s="807" customFormat="1" ht="15.75">
      <c r="A155" s="154" t="s">
        <v>1232</v>
      </c>
      <c r="B155" s="1767" t="s">
        <v>1224</v>
      </c>
      <c r="C155" s="1767"/>
      <c r="D155" s="1767"/>
      <c r="E155" s="1767"/>
      <c r="F155" s="1767"/>
      <c r="G155" s="1767"/>
      <c r="H155" s="1767"/>
      <c r="I155" s="1767"/>
      <c r="J155" s="1767"/>
      <c r="K155" s="719"/>
      <c r="L155" s="154" t="s">
        <v>1234</v>
      </c>
      <c r="M155" s="1767" t="s">
        <v>1505</v>
      </c>
      <c r="N155" s="1767"/>
      <c r="O155" s="1767"/>
      <c r="P155" s="1767"/>
      <c r="Q155" s="1767"/>
      <c r="R155" s="1767"/>
      <c r="S155" s="1767"/>
      <c r="T155" s="1767"/>
      <c r="U155" s="1767"/>
      <c r="V155" s="1767"/>
      <c r="W155" s="1767"/>
    </row>
    <row r="156" spans="1:30" s="807" customFormat="1" ht="15.75" customHeight="1">
      <c r="A156" s="1819" t="s">
        <v>1542</v>
      </c>
      <c r="B156" s="1819"/>
      <c r="C156" s="1819"/>
      <c r="D156" s="1819"/>
      <c r="E156" s="1819"/>
      <c r="F156" s="1819"/>
      <c r="G156" s="1819"/>
      <c r="H156" s="1819"/>
      <c r="I156" s="1819"/>
      <c r="J156" s="1819"/>
      <c r="K156" s="719"/>
      <c r="L156" s="1819" t="s">
        <v>1543</v>
      </c>
      <c r="M156" s="1819"/>
      <c r="N156" s="1819"/>
      <c r="O156" s="1819"/>
      <c r="P156" s="1819"/>
      <c r="Q156" s="1819"/>
      <c r="R156" s="1819"/>
      <c r="S156" s="1819"/>
      <c r="T156" s="1819"/>
      <c r="U156" s="1819"/>
      <c r="V156" s="1766"/>
      <c r="W156" s="1766"/>
    </row>
    <row r="157" spans="1:30" s="807" customFormat="1" ht="15.75">
      <c r="A157" s="1818" t="s">
        <v>1120</v>
      </c>
      <c r="B157" s="1818"/>
      <c r="C157" s="1818"/>
      <c r="D157" s="1818"/>
      <c r="E157" s="1818"/>
      <c r="F157" s="1818"/>
      <c r="G157" s="1818"/>
      <c r="H157" s="1818"/>
      <c r="I157" s="1818"/>
      <c r="J157" s="1818"/>
      <c r="K157" s="719"/>
      <c r="L157" s="1818" t="s">
        <v>1120</v>
      </c>
      <c r="M157" s="1818"/>
      <c r="N157" s="1818"/>
      <c r="O157" s="1818"/>
      <c r="P157" s="1818"/>
      <c r="Q157" s="1818"/>
      <c r="R157" s="1818"/>
      <c r="S157" s="1818"/>
      <c r="T157" s="1818"/>
      <c r="U157" s="1818"/>
      <c r="V157" s="1765"/>
      <c r="W157" s="1765"/>
    </row>
    <row r="158" spans="1:30" s="810" customFormat="1" ht="12.75" thickBot="1">
      <c r="A158" s="809"/>
      <c r="B158" s="809"/>
      <c r="G158" s="809"/>
      <c r="H158" s="809"/>
      <c r="J158" s="199" t="s">
        <v>281</v>
      </c>
      <c r="K158" s="811"/>
      <c r="L158" s="809"/>
      <c r="M158" s="809"/>
      <c r="N158" s="809"/>
      <c r="O158" s="809"/>
      <c r="P158" s="809"/>
      <c r="Q158" s="809"/>
      <c r="R158" s="809"/>
      <c r="S158" s="809"/>
      <c r="U158" s="199" t="s">
        <v>281</v>
      </c>
      <c r="V158" s="797"/>
      <c r="W158" s="797"/>
    </row>
    <row r="159" spans="1:30" s="813" customFormat="1" ht="36.75" thickBot="1">
      <c r="A159" s="353" t="s">
        <v>432</v>
      </c>
      <c r="B159" s="354" t="s">
        <v>1314</v>
      </c>
      <c r="C159" s="1612" t="s">
        <v>1553</v>
      </c>
      <c r="D159" s="881" t="s">
        <v>1554</v>
      </c>
      <c r="E159" s="881" t="s">
        <v>2646</v>
      </c>
      <c r="F159" s="1613" t="s">
        <v>2645</v>
      </c>
      <c r="G159" s="335" t="s">
        <v>461</v>
      </c>
      <c r="H159" s="336" t="s">
        <v>462</v>
      </c>
      <c r="I159" s="336" t="s">
        <v>1313</v>
      </c>
      <c r="J159" s="1769" t="s">
        <v>18</v>
      </c>
      <c r="K159" s="816"/>
      <c r="L159" s="353" t="s">
        <v>432</v>
      </c>
      <c r="M159" s="354" t="s">
        <v>1314</v>
      </c>
      <c r="N159" s="1612" t="s">
        <v>1553</v>
      </c>
      <c r="O159" s="881" t="s">
        <v>1554</v>
      </c>
      <c r="P159" s="881" t="s">
        <v>2646</v>
      </c>
      <c r="Q159" s="1613" t="s">
        <v>2645</v>
      </c>
      <c r="R159" s="335" t="s">
        <v>461</v>
      </c>
      <c r="S159" s="336" t="s">
        <v>462</v>
      </c>
      <c r="T159" s="336" t="s">
        <v>1313</v>
      </c>
      <c r="U159" s="1769" t="s">
        <v>18</v>
      </c>
      <c r="V159" s="798"/>
      <c r="W159" s="798"/>
    </row>
    <row r="160" spans="1:30">
      <c r="A160" s="162" t="s">
        <v>433</v>
      </c>
      <c r="B160" s="163">
        <f t="shared" ref="B160:J160" si="120">+B177-B165-B164-B163-B162</f>
        <v>-19316</v>
      </c>
      <c r="C160" s="1174">
        <f t="shared" si="120"/>
        <v>25559</v>
      </c>
      <c r="D160" s="1175">
        <f t="shared" ref="D160:E160" si="121">+D177-D165-D164-D163-D162</f>
        <v>14557</v>
      </c>
      <c r="E160" s="1175">
        <f t="shared" si="121"/>
        <v>14557</v>
      </c>
      <c r="F160" s="1614">
        <f t="shared" ref="F160:F166" si="122">IF(ISERROR(E160/D160),"-",E160/D160)</f>
        <v>1</v>
      </c>
      <c r="G160" s="164">
        <f t="shared" si="120"/>
        <v>4759</v>
      </c>
      <c r="H160" s="165">
        <f t="shared" si="120"/>
        <v>0</v>
      </c>
      <c r="I160" s="165">
        <f t="shared" si="120"/>
        <v>0</v>
      </c>
      <c r="J160" s="166">
        <f t="shared" si="120"/>
        <v>0</v>
      </c>
      <c r="K160" s="814"/>
      <c r="L160" s="162" t="s">
        <v>433</v>
      </c>
      <c r="M160" s="163">
        <f t="shared" ref="M160:U160" si="123">+M177-M165-M164-M163-M162</f>
        <v>-49225</v>
      </c>
      <c r="N160" s="1174">
        <f t="shared" si="123"/>
        <v>62052</v>
      </c>
      <c r="O160" s="1175">
        <f t="shared" ref="O160:P160" si="124">+O177-O165-O164-O163-O162</f>
        <v>8865</v>
      </c>
      <c r="P160" s="1175">
        <f t="shared" si="124"/>
        <v>8865</v>
      </c>
      <c r="Q160" s="1614">
        <f t="shared" ref="Q160:Q166" si="125">IF(ISERROR(P160/O160),"-",P160/O160)</f>
        <v>1</v>
      </c>
      <c r="R160" s="164">
        <f t="shared" si="123"/>
        <v>40360</v>
      </c>
      <c r="S160" s="165">
        <f t="shared" si="123"/>
        <v>0</v>
      </c>
      <c r="T160" s="165">
        <f t="shared" si="123"/>
        <v>0</v>
      </c>
      <c r="U160" s="166">
        <f t="shared" si="123"/>
        <v>0</v>
      </c>
      <c r="V160" s="156"/>
      <c r="W160" s="156"/>
    </row>
    <row r="161" spans="1:30">
      <c r="A161" s="167" t="s">
        <v>434</v>
      </c>
      <c r="B161" s="168"/>
      <c r="C161" s="1176"/>
      <c r="D161" s="1177"/>
      <c r="E161" s="1177"/>
      <c r="F161" s="1615" t="str">
        <f t="shared" si="122"/>
        <v>-</v>
      </c>
      <c r="G161" s="169"/>
      <c r="H161" s="170"/>
      <c r="I161" s="170"/>
      <c r="J161" s="171">
        <f>+B161+IF(D161&lt;=E161,E161,D161)+G161+H161+I161</f>
        <v>0</v>
      </c>
      <c r="K161" s="814"/>
      <c r="L161" s="167" t="s">
        <v>434</v>
      </c>
      <c r="M161" s="168"/>
      <c r="N161" s="1176"/>
      <c r="O161" s="1177"/>
      <c r="P161" s="1177"/>
      <c r="Q161" s="1615" t="str">
        <f t="shared" si="125"/>
        <v>-</v>
      </c>
      <c r="R161" s="169"/>
      <c r="S161" s="170"/>
      <c r="T161" s="170"/>
      <c r="U161" s="171">
        <f>+M161+IF(O161&lt;=P161,P161,O161)+R161+S161+T161</f>
        <v>0</v>
      </c>
      <c r="V161" s="799"/>
      <c r="W161" s="799"/>
      <c r="X161" s="118"/>
      <c r="AB161" s="118"/>
    </row>
    <row r="162" spans="1:30">
      <c r="A162" s="172" t="s">
        <v>435</v>
      </c>
      <c r="B162" s="173">
        <v>34604</v>
      </c>
      <c r="C162" s="182"/>
      <c r="D162" s="1178"/>
      <c r="E162" s="1178"/>
      <c r="F162" s="1615" t="str">
        <f t="shared" si="122"/>
        <v>-</v>
      </c>
      <c r="G162" s="174"/>
      <c r="H162" s="175"/>
      <c r="I162" s="175"/>
      <c r="J162" s="176">
        <f t="shared" ref="J162:J165" si="126">+B162+IF(D162&lt;=E162,E162,D162)+G162+H162+I162</f>
        <v>34604</v>
      </c>
      <c r="K162" s="814"/>
      <c r="L162" s="172" t="s">
        <v>435</v>
      </c>
      <c r="M162" s="173">
        <v>109516</v>
      </c>
      <c r="N162" s="182"/>
      <c r="O162" s="1178"/>
      <c r="P162" s="1178"/>
      <c r="Q162" s="1615" t="str">
        <f t="shared" si="125"/>
        <v>-</v>
      </c>
      <c r="R162" s="174"/>
      <c r="S162" s="175"/>
      <c r="T162" s="175"/>
      <c r="U162" s="176">
        <f t="shared" ref="U162:U165" si="127">+M162+IF(O162&lt;=P162,P162,O162)+R162+S162+T162</f>
        <v>109516</v>
      </c>
      <c r="V162" s="156"/>
      <c r="W162" s="156"/>
      <c r="X162" s="118"/>
      <c r="Y162" s="118"/>
      <c r="Z162" s="118"/>
      <c r="AA162" s="118"/>
      <c r="AB162" s="118"/>
      <c r="AC162" s="118"/>
      <c r="AD162" s="118"/>
    </row>
    <row r="163" spans="1:30">
      <c r="A163" s="172" t="s">
        <v>436</v>
      </c>
      <c r="B163" s="173"/>
      <c r="C163" s="182"/>
      <c r="D163" s="1178"/>
      <c r="E163" s="1178"/>
      <c r="F163" s="1615" t="str">
        <f t="shared" si="122"/>
        <v>-</v>
      </c>
      <c r="G163" s="174"/>
      <c r="H163" s="175"/>
      <c r="I163" s="175"/>
      <c r="J163" s="176">
        <f t="shared" si="126"/>
        <v>0</v>
      </c>
      <c r="K163" s="814"/>
      <c r="L163" s="172" t="s">
        <v>436</v>
      </c>
      <c r="M163" s="173"/>
      <c r="N163" s="182"/>
      <c r="O163" s="1178"/>
      <c r="P163" s="1178"/>
      <c r="Q163" s="1615" t="str">
        <f t="shared" si="125"/>
        <v>-</v>
      </c>
      <c r="R163" s="174"/>
      <c r="S163" s="175"/>
      <c r="T163" s="175"/>
      <c r="U163" s="176">
        <f t="shared" si="127"/>
        <v>0</v>
      </c>
      <c r="V163" s="156"/>
      <c r="W163" s="156"/>
      <c r="X163" s="118"/>
      <c r="AB163" s="118"/>
    </row>
    <row r="164" spans="1:30">
      <c r="A164" s="172" t="s">
        <v>437</v>
      </c>
      <c r="B164" s="173"/>
      <c r="C164" s="182"/>
      <c r="D164" s="1178"/>
      <c r="E164" s="1178"/>
      <c r="F164" s="1615" t="str">
        <f t="shared" si="122"/>
        <v>-</v>
      </c>
      <c r="G164" s="174"/>
      <c r="H164" s="175"/>
      <c r="I164" s="175"/>
      <c r="J164" s="176">
        <f t="shared" si="126"/>
        <v>0</v>
      </c>
      <c r="K164" s="814"/>
      <c r="L164" s="172" t="s">
        <v>437</v>
      </c>
      <c r="M164" s="173"/>
      <c r="N164" s="182"/>
      <c r="O164" s="1178"/>
      <c r="P164" s="1178"/>
      <c r="Q164" s="1615" t="str">
        <f t="shared" si="125"/>
        <v>-</v>
      </c>
      <c r="R164" s="174"/>
      <c r="S164" s="175"/>
      <c r="T164" s="175"/>
      <c r="U164" s="176">
        <f t="shared" si="127"/>
        <v>0</v>
      </c>
      <c r="V164" s="156"/>
      <c r="W164" s="156"/>
      <c r="X164" s="118"/>
      <c r="AB164" s="118"/>
    </row>
    <row r="165" spans="1:30" ht="12.75" thickBot="1">
      <c r="A165" s="172" t="s">
        <v>438</v>
      </c>
      <c r="B165" s="173"/>
      <c r="C165" s="182"/>
      <c r="D165" s="1178"/>
      <c r="E165" s="1178"/>
      <c r="F165" s="1615" t="str">
        <f t="shared" si="122"/>
        <v>-</v>
      </c>
      <c r="G165" s="174"/>
      <c r="H165" s="175"/>
      <c r="I165" s="175"/>
      <c r="J165" s="176">
        <f t="shared" si="126"/>
        <v>0</v>
      </c>
      <c r="K165" s="814"/>
      <c r="L165" s="172" t="s">
        <v>438</v>
      </c>
      <c r="M165" s="173"/>
      <c r="N165" s="182"/>
      <c r="O165" s="1178"/>
      <c r="P165" s="1178"/>
      <c r="Q165" s="1615" t="str">
        <f t="shared" si="125"/>
        <v>-</v>
      </c>
      <c r="R165" s="174"/>
      <c r="S165" s="175"/>
      <c r="T165" s="175"/>
      <c r="U165" s="176">
        <f t="shared" si="127"/>
        <v>0</v>
      </c>
      <c r="V165" s="156"/>
      <c r="W165" s="156"/>
      <c r="X165" s="118"/>
      <c r="AB165" s="118"/>
    </row>
    <row r="166" spans="1:30" ht="12.75" thickBot="1">
      <c r="A166" s="155" t="s">
        <v>439</v>
      </c>
      <c r="B166" s="177">
        <f t="shared" ref="B166:J166" si="128">+B160+B162+B163+B164+B165</f>
        <v>15288</v>
      </c>
      <c r="C166" s="155">
        <f t="shared" si="128"/>
        <v>25559</v>
      </c>
      <c r="D166" s="1180">
        <f t="shared" ref="D166:E166" si="129">+D160+D162+D163+D164+D165</f>
        <v>14557</v>
      </c>
      <c r="E166" s="1180">
        <f t="shared" si="129"/>
        <v>14557</v>
      </c>
      <c r="F166" s="1616">
        <f t="shared" si="122"/>
        <v>1</v>
      </c>
      <c r="G166" s="179">
        <f t="shared" si="128"/>
        <v>4759</v>
      </c>
      <c r="H166" s="177">
        <f t="shared" si="128"/>
        <v>0</v>
      </c>
      <c r="I166" s="177">
        <f t="shared" si="128"/>
        <v>0</v>
      </c>
      <c r="J166" s="178">
        <f t="shared" si="128"/>
        <v>34604</v>
      </c>
      <c r="K166" s="814"/>
      <c r="L166" s="155" t="s">
        <v>439</v>
      </c>
      <c r="M166" s="177">
        <f t="shared" ref="M166:U166" si="130">+M160+M162+M163+M164+M165</f>
        <v>60291</v>
      </c>
      <c r="N166" s="155">
        <f t="shared" si="130"/>
        <v>62052</v>
      </c>
      <c r="O166" s="1180">
        <f t="shared" ref="O166:P166" si="131">+O160+O162+O163+O164+O165</f>
        <v>8865</v>
      </c>
      <c r="P166" s="1180">
        <f t="shared" si="131"/>
        <v>8865</v>
      </c>
      <c r="Q166" s="1616">
        <f t="shared" si="125"/>
        <v>1</v>
      </c>
      <c r="R166" s="179">
        <f t="shared" si="130"/>
        <v>40360</v>
      </c>
      <c r="S166" s="177">
        <f t="shared" si="130"/>
        <v>0</v>
      </c>
      <c r="T166" s="177">
        <f t="shared" si="130"/>
        <v>0</v>
      </c>
      <c r="U166" s="178">
        <f t="shared" si="130"/>
        <v>109516</v>
      </c>
      <c r="V166" s="156"/>
      <c r="W166" s="156"/>
    </row>
    <row r="167" spans="1:30" ht="12.75" thickBot="1">
      <c r="A167" s="180"/>
      <c r="B167" s="180"/>
      <c r="C167" s="180"/>
      <c r="D167" s="180"/>
      <c r="E167" s="180"/>
      <c r="F167" s="180"/>
      <c r="G167" s="180"/>
      <c r="H167" s="180"/>
      <c r="I167" s="180"/>
      <c r="J167" s="180"/>
      <c r="K167" s="814"/>
      <c r="L167" s="180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</row>
    <row r="168" spans="1:30" s="813" customFormat="1" ht="36.75" thickBot="1">
      <c r="A168" s="353" t="s">
        <v>440</v>
      </c>
      <c r="B168" s="354" t="s">
        <v>1314</v>
      </c>
      <c r="C168" s="1612" t="s">
        <v>1553</v>
      </c>
      <c r="D168" s="881" t="s">
        <v>1554</v>
      </c>
      <c r="E168" s="881" t="s">
        <v>2646</v>
      </c>
      <c r="F168" s="1613" t="s">
        <v>2645</v>
      </c>
      <c r="G168" s="335" t="s">
        <v>461</v>
      </c>
      <c r="H168" s="336" t="s">
        <v>462</v>
      </c>
      <c r="I168" s="336" t="s">
        <v>1313</v>
      </c>
      <c r="J168" s="1769" t="s">
        <v>18</v>
      </c>
      <c r="K168" s="816"/>
      <c r="L168" s="353" t="s">
        <v>440</v>
      </c>
      <c r="M168" s="354" t="s">
        <v>1314</v>
      </c>
      <c r="N168" s="1612" t="s">
        <v>1553</v>
      </c>
      <c r="O168" s="881" t="s">
        <v>1554</v>
      </c>
      <c r="P168" s="881" t="s">
        <v>2646</v>
      </c>
      <c r="Q168" s="1613" t="s">
        <v>2645</v>
      </c>
      <c r="R168" s="335" t="s">
        <v>461</v>
      </c>
      <c r="S168" s="336" t="s">
        <v>462</v>
      </c>
      <c r="T168" s="336" t="s">
        <v>1313</v>
      </c>
      <c r="U168" s="1769" t="s">
        <v>18</v>
      </c>
      <c r="V168" s="798"/>
      <c r="W168" s="798"/>
    </row>
    <row r="169" spans="1:30">
      <c r="A169" s="162" t="s">
        <v>446</v>
      </c>
      <c r="B169" s="163">
        <v>6354</v>
      </c>
      <c r="C169" s="1174"/>
      <c r="D169" s="1175">
        <v>6529</v>
      </c>
      <c r="E169" s="1175">
        <v>6529</v>
      </c>
      <c r="F169" s="1614">
        <f t="shared" ref="F169:F177" si="132">IF(ISERROR(E169/D169),"-",E169/D169)</f>
        <v>1</v>
      </c>
      <c r="G169" s="164"/>
      <c r="H169" s="165"/>
      <c r="I169" s="165"/>
      <c r="J169" s="166">
        <f>+B169+IF(D169&lt;=E169,E169,D169)+G169+H169+I169</f>
        <v>12883</v>
      </c>
      <c r="K169" s="814"/>
      <c r="L169" s="162" t="s">
        <v>446</v>
      </c>
      <c r="M169" s="163"/>
      <c r="N169" s="1174"/>
      <c r="O169" s="1175"/>
      <c r="P169" s="1175"/>
      <c r="Q169" s="1614" t="str">
        <f t="shared" ref="Q169:Q177" si="133">IF(ISERROR(P169/O169),"-",P169/O169)</f>
        <v>-</v>
      </c>
      <c r="R169" s="164"/>
      <c r="S169" s="165"/>
      <c r="T169" s="165"/>
      <c r="U169" s="166">
        <f>+M169+IF(O169&lt;=P169,P169,O169)+R169+S169+T169</f>
        <v>0</v>
      </c>
      <c r="V169" s="156"/>
      <c r="W169" s="156"/>
      <c r="X169" s="118"/>
      <c r="Y169" s="118"/>
      <c r="Z169" s="118"/>
      <c r="AA169" s="118"/>
      <c r="AB169" s="118"/>
      <c r="AC169" s="118"/>
      <c r="AD169" s="118"/>
    </row>
    <row r="170" spans="1:30">
      <c r="A170" s="181" t="s">
        <v>447</v>
      </c>
      <c r="B170" s="173">
        <v>1078</v>
      </c>
      <c r="C170" s="182"/>
      <c r="D170" s="1178">
        <v>1167</v>
      </c>
      <c r="E170" s="1178">
        <v>1167</v>
      </c>
      <c r="F170" s="1615">
        <f t="shared" si="132"/>
        <v>1</v>
      </c>
      <c r="G170" s="174"/>
      <c r="H170" s="175"/>
      <c r="I170" s="175"/>
      <c r="J170" s="176">
        <f t="shared" ref="J170:J176" si="134">+B170+IF(D170&lt;=E170,E170,D170)+G170+H170+I170</f>
        <v>2245</v>
      </c>
      <c r="K170" s="814"/>
      <c r="L170" s="181" t="s">
        <v>447</v>
      </c>
      <c r="M170" s="173"/>
      <c r="N170" s="182"/>
      <c r="O170" s="1178"/>
      <c r="P170" s="1178"/>
      <c r="Q170" s="1615" t="str">
        <f t="shared" si="133"/>
        <v>-</v>
      </c>
      <c r="R170" s="174"/>
      <c r="S170" s="175"/>
      <c r="T170" s="175"/>
      <c r="U170" s="176">
        <f t="shared" ref="U170:U176" si="135">+M170+IF(O170&lt;=P170,P170,O170)+R170+S170+T170</f>
        <v>0</v>
      </c>
      <c r="V170" s="156"/>
      <c r="W170" s="156"/>
      <c r="X170" s="118"/>
      <c r="Y170" s="118"/>
      <c r="Z170" s="118"/>
      <c r="AA170" s="118"/>
      <c r="AB170" s="118"/>
      <c r="AC170" s="118"/>
      <c r="AD170" s="118"/>
    </row>
    <row r="171" spans="1:30">
      <c r="A171" s="172" t="s">
        <v>448</v>
      </c>
      <c r="B171" s="173">
        <v>7856</v>
      </c>
      <c r="C171" s="182"/>
      <c r="D171" s="1178">
        <v>6861</v>
      </c>
      <c r="E171" s="1178">
        <v>6861</v>
      </c>
      <c r="F171" s="1615">
        <f t="shared" si="132"/>
        <v>1</v>
      </c>
      <c r="G171" s="174"/>
      <c r="H171" s="175"/>
      <c r="I171" s="175"/>
      <c r="J171" s="176">
        <f t="shared" si="134"/>
        <v>14717</v>
      </c>
      <c r="K171" s="814"/>
      <c r="L171" s="172" t="s">
        <v>448</v>
      </c>
      <c r="M171" s="173">
        <v>44291</v>
      </c>
      <c r="N171" s="182"/>
      <c r="O171" s="1178">
        <v>8865</v>
      </c>
      <c r="P171" s="1178">
        <v>8865</v>
      </c>
      <c r="Q171" s="1615">
        <f t="shared" si="133"/>
        <v>1</v>
      </c>
      <c r="R171" s="174"/>
      <c r="S171" s="175"/>
      <c r="T171" s="175"/>
      <c r="U171" s="176">
        <f t="shared" si="135"/>
        <v>53156</v>
      </c>
      <c r="V171" s="156"/>
      <c r="W171" s="156"/>
      <c r="X171" s="118"/>
      <c r="Y171" s="118"/>
      <c r="Z171" s="118"/>
      <c r="AA171" s="118"/>
      <c r="AB171" s="118"/>
      <c r="AC171" s="118"/>
      <c r="AD171" s="118"/>
    </row>
    <row r="172" spans="1:30">
      <c r="A172" s="172" t="s">
        <v>449</v>
      </c>
      <c r="B172" s="173"/>
      <c r="C172" s="182"/>
      <c r="D172" s="1178"/>
      <c r="E172" s="1178"/>
      <c r="F172" s="1615" t="str">
        <f t="shared" si="132"/>
        <v>-</v>
      </c>
      <c r="G172" s="174"/>
      <c r="H172" s="175"/>
      <c r="I172" s="175"/>
      <c r="J172" s="176">
        <f t="shared" si="134"/>
        <v>0</v>
      </c>
      <c r="K172" s="814"/>
      <c r="L172" s="172" t="s">
        <v>449</v>
      </c>
      <c r="M172" s="173"/>
      <c r="N172" s="182"/>
      <c r="O172" s="1178"/>
      <c r="P172" s="1178"/>
      <c r="Q172" s="1615" t="str">
        <f t="shared" si="133"/>
        <v>-</v>
      </c>
      <c r="R172" s="174"/>
      <c r="S172" s="175"/>
      <c r="T172" s="175"/>
      <c r="U172" s="176">
        <f t="shared" si="135"/>
        <v>0</v>
      </c>
      <c r="V172" s="156"/>
      <c r="W172" s="156"/>
      <c r="X172" s="118"/>
      <c r="Z172" s="118"/>
      <c r="AA172" s="118"/>
      <c r="AB172" s="118"/>
      <c r="AD172" s="118"/>
    </row>
    <row r="173" spans="1:30">
      <c r="A173" s="182" t="s">
        <v>450</v>
      </c>
      <c r="B173" s="183"/>
      <c r="C173" s="182">
        <f>25540+19</f>
        <v>25559</v>
      </c>
      <c r="D173" s="1178">
        <v>0</v>
      </c>
      <c r="E173" s="1178"/>
      <c r="F173" s="1615" t="str">
        <f t="shared" si="132"/>
        <v>-</v>
      </c>
      <c r="G173" s="174">
        <v>4759</v>
      </c>
      <c r="H173" s="175"/>
      <c r="I173" s="175"/>
      <c r="J173" s="176">
        <f t="shared" si="134"/>
        <v>4759</v>
      </c>
      <c r="K173" s="814"/>
      <c r="L173" s="182" t="s">
        <v>450</v>
      </c>
      <c r="M173" s="183"/>
      <c r="N173" s="182">
        <v>62052</v>
      </c>
      <c r="O173" s="1178">
        <v>0</v>
      </c>
      <c r="P173" s="1178"/>
      <c r="Q173" s="1615" t="str">
        <f t="shared" si="133"/>
        <v>-</v>
      </c>
      <c r="R173" s="174">
        <v>40360</v>
      </c>
      <c r="S173" s="175"/>
      <c r="T173" s="175"/>
      <c r="U173" s="176">
        <f t="shared" si="135"/>
        <v>40360</v>
      </c>
      <c r="V173" s="156"/>
      <c r="W173" s="156"/>
      <c r="X173" s="118"/>
      <c r="Y173" s="118"/>
      <c r="Z173" s="118"/>
      <c r="AA173" s="118"/>
      <c r="AB173" s="118"/>
      <c r="AC173" s="118"/>
      <c r="AD173" s="118"/>
    </row>
    <row r="174" spans="1:30">
      <c r="A174" s="182" t="s">
        <v>451</v>
      </c>
      <c r="B174" s="183"/>
      <c r="C174" s="182"/>
      <c r="D174" s="1178"/>
      <c r="E174" s="1178"/>
      <c r="F174" s="1615" t="str">
        <f t="shared" si="132"/>
        <v>-</v>
      </c>
      <c r="G174" s="174"/>
      <c r="H174" s="175"/>
      <c r="I174" s="175"/>
      <c r="J174" s="176">
        <f t="shared" si="134"/>
        <v>0</v>
      </c>
      <c r="K174" s="814"/>
      <c r="L174" s="182" t="s">
        <v>451</v>
      </c>
      <c r="M174" s="183">
        <v>16000</v>
      </c>
      <c r="N174" s="182"/>
      <c r="O174" s="1178"/>
      <c r="P174" s="1178"/>
      <c r="Q174" s="1615" t="str">
        <f t="shared" si="133"/>
        <v>-</v>
      </c>
      <c r="R174" s="174"/>
      <c r="S174" s="175"/>
      <c r="T174" s="175"/>
      <c r="U174" s="176">
        <f t="shared" si="135"/>
        <v>16000</v>
      </c>
      <c r="V174" s="156"/>
      <c r="W174" s="156"/>
      <c r="X174" s="118"/>
      <c r="Y174" s="118"/>
      <c r="Z174" s="118"/>
      <c r="AA174" s="118"/>
      <c r="AB174" s="118"/>
      <c r="AC174" s="118"/>
      <c r="AD174" s="118"/>
    </row>
    <row r="175" spans="1:30">
      <c r="A175" s="184" t="s">
        <v>452</v>
      </c>
      <c r="B175" s="185"/>
      <c r="C175" s="184"/>
      <c r="D175" s="1181"/>
      <c r="E175" s="1181"/>
      <c r="F175" s="1617" t="str">
        <f t="shared" si="132"/>
        <v>-</v>
      </c>
      <c r="G175" s="186"/>
      <c r="H175" s="187"/>
      <c r="I175" s="187"/>
      <c r="J175" s="176">
        <f t="shared" si="134"/>
        <v>0</v>
      </c>
      <c r="K175" s="814"/>
      <c r="L175" s="184" t="s">
        <v>452</v>
      </c>
      <c r="M175" s="185"/>
      <c r="N175" s="184"/>
      <c r="O175" s="1181"/>
      <c r="P175" s="1181"/>
      <c r="Q175" s="1617" t="str">
        <f t="shared" si="133"/>
        <v>-</v>
      </c>
      <c r="R175" s="174"/>
      <c r="S175" s="187"/>
      <c r="T175" s="187"/>
      <c r="U175" s="176">
        <f t="shared" si="135"/>
        <v>0</v>
      </c>
      <c r="V175" s="156"/>
      <c r="W175" s="156"/>
      <c r="X175" s="118"/>
      <c r="Y175" s="118"/>
      <c r="Z175" s="118"/>
      <c r="AA175" s="118"/>
      <c r="AB175" s="118"/>
      <c r="AC175" s="118"/>
      <c r="AD175" s="118"/>
    </row>
    <row r="176" spans="1:30" ht="12.75" thickBot="1">
      <c r="A176" s="184" t="s">
        <v>453</v>
      </c>
      <c r="B176" s="185"/>
      <c r="C176" s="184"/>
      <c r="D176" s="1181"/>
      <c r="E176" s="1181"/>
      <c r="F176" s="1617" t="str">
        <f t="shared" si="132"/>
        <v>-</v>
      </c>
      <c r="G176" s="186"/>
      <c r="H176" s="187"/>
      <c r="I176" s="187"/>
      <c r="J176" s="176">
        <f t="shared" si="134"/>
        <v>0</v>
      </c>
      <c r="K176" s="814"/>
      <c r="L176" s="184" t="s">
        <v>453</v>
      </c>
      <c r="M176" s="185"/>
      <c r="N176" s="184"/>
      <c r="O176" s="1181"/>
      <c r="P176" s="1181"/>
      <c r="Q176" s="1617" t="str">
        <f t="shared" si="133"/>
        <v>-</v>
      </c>
      <c r="R176" s="186"/>
      <c r="S176" s="187"/>
      <c r="T176" s="187"/>
      <c r="U176" s="176">
        <f t="shared" si="135"/>
        <v>0</v>
      </c>
      <c r="V176" s="156"/>
      <c r="W176" s="156"/>
      <c r="X176" s="118"/>
      <c r="Y176" s="118"/>
      <c r="Z176" s="118"/>
      <c r="AA176" s="118"/>
      <c r="AB176" s="118"/>
      <c r="AC176" s="118"/>
      <c r="AD176" s="118"/>
    </row>
    <row r="177" spans="1:30" ht="12.75" thickBot="1">
      <c r="A177" s="155" t="s">
        <v>454</v>
      </c>
      <c r="B177" s="177">
        <f t="shared" ref="B177:J177" si="136">+B169+B170+B171+B172+B173+B174+B175+B176</f>
        <v>15288</v>
      </c>
      <c r="C177" s="155">
        <f t="shared" si="136"/>
        <v>25559</v>
      </c>
      <c r="D177" s="1180">
        <f t="shared" ref="D177:E177" si="137">+D169+D170+D171+D172+D173+D174+D175+D176</f>
        <v>14557</v>
      </c>
      <c r="E177" s="1180">
        <f t="shared" si="137"/>
        <v>14557</v>
      </c>
      <c r="F177" s="1616">
        <f t="shared" si="132"/>
        <v>1</v>
      </c>
      <c r="G177" s="179">
        <f t="shared" si="136"/>
        <v>4759</v>
      </c>
      <c r="H177" s="177">
        <f t="shared" si="136"/>
        <v>0</v>
      </c>
      <c r="I177" s="177">
        <f t="shared" si="136"/>
        <v>0</v>
      </c>
      <c r="J177" s="178">
        <f t="shared" si="136"/>
        <v>34604</v>
      </c>
      <c r="L177" s="155" t="s">
        <v>454</v>
      </c>
      <c r="M177" s="177">
        <f t="shared" ref="M177:U177" si="138">+M169+M170+M171+M172+M173+M174+M175+M176</f>
        <v>60291</v>
      </c>
      <c r="N177" s="155">
        <f t="shared" si="138"/>
        <v>62052</v>
      </c>
      <c r="O177" s="1180">
        <f t="shared" ref="O177:P177" si="139">+O169+O170+O171+O172+O173+O174+O175+O176</f>
        <v>8865</v>
      </c>
      <c r="P177" s="1180">
        <f t="shared" si="139"/>
        <v>8865</v>
      </c>
      <c r="Q177" s="1616">
        <f t="shared" si="133"/>
        <v>1</v>
      </c>
      <c r="R177" s="179">
        <f t="shared" si="138"/>
        <v>40360</v>
      </c>
      <c r="S177" s="177">
        <f t="shared" si="138"/>
        <v>0</v>
      </c>
      <c r="T177" s="177">
        <f t="shared" si="138"/>
        <v>0</v>
      </c>
      <c r="U177" s="178">
        <f t="shared" si="138"/>
        <v>109516</v>
      </c>
      <c r="V177" s="156"/>
      <c r="W177" s="156"/>
      <c r="Y177" s="814"/>
      <c r="AC177" s="814"/>
    </row>
    <row r="178" spans="1:30">
      <c r="A178" s="156"/>
      <c r="B178" s="156"/>
      <c r="C178" s="156"/>
      <c r="D178" s="156"/>
      <c r="E178" s="156"/>
      <c r="F178" s="156"/>
      <c r="G178" s="156"/>
      <c r="H178" s="156"/>
      <c r="I178" s="156"/>
      <c r="J178" s="156"/>
      <c r="K178" s="814"/>
      <c r="L178" s="156"/>
      <c r="M178" s="156"/>
      <c r="N178" s="156"/>
      <c r="O178" s="156"/>
      <c r="P178" s="156"/>
      <c r="Q178" s="156"/>
      <c r="R178" s="156"/>
      <c r="S178" s="156"/>
      <c r="T178" s="156"/>
      <c r="U178" s="156"/>
      <c r="V178" s="156"/>
      <c r="W178" s="156"/>
    </row>
    <row r="180" spans="1:30" s="807" customFormat="1" ht="15.75">
      <c r="A180" s="154" t="s">
        <v>1506</v>
      </c>
      <c r="B180" s="1767" t="s">
        <v>1518</v>
      </c>
      <c r="C180" s="1767"/>
      <c r="D180" s="1767"/>
      <c r="E180" s="1767"/>
      <c r="F180" s="1767"/>
      <c r="G180" s="1767"/>
      <c r="H180" s="1767"/>
      <c r="I180" s="1767"/>
      <c r="J180" s="1767"/>
      <c r="K180" s="719"/>
      <c r="L180" s="154" t="s">
        <v>1507</v>
      </c>
      <c r="M180" s="1767" t="s">
        <v>1520</v>
      </c>
      <c r="N180" s="1767"/>
      <c r="O180" s="1767"/>
      <c r="P180" s="1767"/>
      <c r="Q180" s="1767"/>
      <c r="R180" s="1767"/>
      <c r="S180" s="1767"/>
      <c r="T180" s="1767"/>
      <c r="U180" s="1767"/>
      <c r="V180" s="1767"/>
      <c r="W180" s="1767"/>
    </row>
    <row r="181" spans="1:30" s="807" customFormat="1" ht="15.75" customHeight="1">
      <c r="A181" s="1819" t="s">
        <v>1519</v>
      </c>
      <c r="B181" s="1819"/>
      <c r="C181" s="1819"/>
      <c r="D181" s="1819"/>
      <c r="E181" s="1819"/>
      <c r="F181" s="1819"/>
      <c r="G181" s="1819"/>
      <c r="H181" s="1819"/>
      <c r="I181" s="1819"/>
      <c r="J181" s="1819"/>
      <c r="K181" s="719"/>
      <c r="L181" s="1819" t="s">
        <v>1521</v>
      </c>
      <c r="M181" s="1819"/>
      <c r="N181" s="1819"/>
      <c r="O181" s="1819"/>
      <c r="P181" s="1819"/>
      <c r="Q181" s="1819"/>
      <c r="R181" s="1819"/>
      <c r="S181" s="1819"/>
      <c r="T181" s="1819"/>
      <c r="U181" s="1819"/>
      <c r="V181" s="1766"/>
      <c r="W181" s="1766"/>
    </row>
    <row r="182" spans="1:30" s="807" customFormat="1" ht="15.75">
      <c r="A182" s="1818" t="s">
        <v>1120</v>
      </c>
      <c r="B182" s="1818"/>
      <c r="C182" s="1818"/>
      <c r="D182" s="1818"/>
      <c r="E182" s="1818"/>
      <c r="F182" s="1818"/>
      <c r="G182" s="1818"/>
      <c r="H182" s="1818"/>
      <c r="I182" s="1818"/>
      <c r="J182" s="1818"/>
      <c r="K182" s="719"/>
      <c r="L182" s="1818" t="s">
        <v>1120</v>
      </c>
      <c r="M182" s="1818"/>
      <c r="N182" s="1818"/>
      <c r="O182" s="1818"/>
      <c r="P182" s="1818"/>
      <c r="Q182" s="1818"/>
      <c r="R182" s="1818"/>
      <c r="S182" s="1818"/>
      <c r="T182" s="1818"/>
      <c r="U182" s="1818"/>
      <c r="V182" s="1765"/>
      <c r="W182" s="1765"/>
    </row>
    <row r="183" spans="1:30" s="810" customFormat="1" ht="12.75" thickBot="1">
      <c r="A183" s="809"/>
      <c r="B183" s="809"/>
      <c r="G183" s="809"/>
      <c r="H183" s="809"/>
      <c r="J183" s="199" t="s">
        <v>281</v>
      </c>
      <c r="K183" s="811"/>
      <c r="L183" s="809"/>
      <c r="M183" s="809"/>
      <c r="N183" s="809"/>
      <c r="O183" s="809"/>
      <c r="P183" s="809"/>
      <c r="Q183" s="809"/>
      <c r="R183" s="809"/>
      <c r="S183" s="809"/>
      <c r="U183" s="199" t="s">
        <v>281</v>
      </c>
      <c r="V183" s="797"/>
      <c r="W183" s="797"/>
    </row>
    <row r="184" spans="1:30" s="813" customFormat="1" ht="36.75" thickBot="1">
      <c r="A184" s="353" t="s">
        <v>432</v>
      </c>
      <c r="B184" s="354" t="s">
        <v>1314</v>
      </c>
      <c r="C184" s="1612" t="s">
        <v>1553</v>
      </c>
      <c r="D184" s="881" t="s">
        <v>1554</v>
      </c>
      <c r="E184" s="881" t="s">
        <v>2646</v>
      </c>
      <c r="F184" s="1613" t="s">
        <v>2645</v>
      </c>
      <c r="G184" s="335" t="s">
        <v>461</v>
      </c>
      <c r="H184" s="336" t="s">
        <v>462</v>
      </c>
      <c r="I184" s="336" t="s">
        <v>1313</v>
      </c>
      <c r="J184" s="1769" t="s">
        <v>18</v>
      </c>
      <c r="K184" s="816"/>
      <c r="L184" s="353" t="s">
        <v>432</v>
      </c>
      <c r="M184" s="354" t="s">
        <v>1314</v>
      </c>
      <c r="N184" s="1612" t="s">
        <v>1553</v>
      </c>
      <c r="O184" s="881" t="s">
        <v>1554</v>
      </c>
      <c r="P184" s="881" t="s">
        <v>2646</v>
      </c>
      <c r="Q184" s="1613" t="s">
        <v>2645</v>
      </c>
      <c r="R184" s="335" t="s">
        <v>461</v>
      </c>
      <c r="S184" s="336" t="s">
        <v>462</v>
      </c>
      <c r="T184" s="336" t="s">
        <v>1313</v>
      </c>
      <c r="U184" s="1769" t="s">
        <v>18</v>
      </c>
      <c r="V184" s="798"/>
      <c r="W184" s="798"/>
    </row>
    <row r="185" spans="1:30">
      <c r="A185" s="162" t="s">
        <v>433</v>
      </c>
      <c r="B185" s="163">
        <f t="shared" ref="B185:J185" si="140">+B202-B190-B189-B188-B187</f>
        <v>-68272</v>
      </c>
      <c r="C185" s="1174">
        <f t="shared" si="140"/>
        <v>68272</v>
      </c>
      <c r="D185" s="1175">
        <f t="shared" ref="D185:E185" si="141">+D202-D190-D189-D188-D187</f>
        <v>598</v>
      </c>
      <c r="E185" s="1175">
        <f t="shared" si="141"/>
        <v>598</v>
      </c>
      <c r="F185" s="1614">
        <f t="shared" ref="F185:F191" si="142">IF(ISERROR(E185/D185),"-",E185/D185)</f>
        <v>1</v>
      </c>
      <c r="G185" s="164">
        <f t="shared" si="140"/>
        <v>67674</v>
      </c>
      <c r="H185" s="165">
        <f t="shared" si="140"/>
        <v>0</v>
      </c>
      <c r="I185" s="165">
        <f t="shared" si="140"/>
        <v>0</v>
      </c>
      <c r="J185" s="166">
        <f t="shared" si="140"/>
        <v>0</v>
      </c>
      <c r="K185" s="814"/>
      <c r="L185" s="162" t="s">
        <v>433</v>
      </c>
      <c r="M185" s="163">
        <f t="shared" ref="M185:U185" si="143">+M202-M190-M189-M188-M187</f>
        <v>-186726</v>
      </c>
      <c r="N185" s="1174">
        <f t="shared" si="143"/>
        <v>173184</v>
      </c>
      <c r="O185" s="1175">
        <f t="shared" ref="O185:P185" si="144">+O202-O190-O189-O188-O187</f>
        <v>172639</v>
      </c>
      <c r="P185" s="1175">
        <f t="shared" si="144"/>
        <v>172639</v>
      </c>
      <c r="Q185" s="1614">
        <f t="shared" ref="Q185:Q191" si="145">IF(ISERROR(P185/O185),"-",P185/O185)</f>
        <v>1</v>
      </c>
      <c r="R185" s="164">
        <f t="shared" si="143"/>
        <v>9405</v>
      </c>
      <c r="S185" s="165">
        <f t="shared" si="143"/>
        <v>0</v>
      </c>
      <c r="T185" s="165">
        <f t="shared" si="143"/>
        <v>0</v>
      </c>
      <c r="U185" s="166">
        <f t="shared" si="143"/>
        <v>-4682</v>
      </c>
      <c r="V185" s="156"/>
      <c r="W185" s="156"/>
    </row>
    <row r="186" spans="1:30">
      <c r="A186" s="167" t="s">
        <v>434</v>
      </c>
      <c r="B186" s="168"/>
      <c r="C186" s="1176"/>
      <c r="D186" s="1177"/>
      <c r="E186" s="1177"/>
      <c r="F186" s="1615" t="str">
        <f t="shared" si="142"/>
        <v>-</v>
      </c>
      <c r="G186" s="169"/>
      <c r="H186" s="170"/>
      <c r="I186" s="170"/>
      <c r="J186" s="171">
        <f>+B186+IF(D186&lt;=E186,E186,D186)+G186+H186+I186</f>
        <v>0</v>
      </c>
      <c r="K186" s="814"/>
      <c r="L186" s="167" t="s">
        <v>434</v>
      </c>
      <c r="M186" s="168"/>
      <c r="N186" s="1176"/>
      <c r="O186" s="1177"/>
      <c r="P186" s="1177"/>
      <c r="Q186" s="1615" t="str">
        <f t="shared" si="145"/>
        <v>-</v>
      </c>
      <c r="R186" s="169"/>
      <c r="S186" s="170"/>
      <c r="T186" s="170"/>
      <c r="U186" s="171">
        <f>+M186+IF(O186&lt;=P186,P186,O186)+R186+S186+T186</f>
        <v>0</v>
      </c>
      <c r="V186" s="799"/>
      <c r="W186" s="799"/>
      <c r="X186" s="118"/>
      <c r="AB186" s="118"/>
    </row>
    <row r="187" spans="1:30">
      <c r="A187" s="172" t="s">
        <v>435</v>
      </c>
      <c r="B187" s="173">
        <v>69269</v>
      </c>
      <c r="C187" s="182"/>
      <c r="D187" s="1178"/>
      <c r="E187" s="1178"/>
      <c r="F187" s="1615" t="str">
        <f t="shared" si="142"/>
        <v>-</v>
      </c>
      <c r="G187" s="174"/>
      <c r="H187" s="175"/>
      <c r="I187" s="175"/>
      <c r="J187" s="176">
        <f t="shared" ref="J187:J190" si="146">+B187+IF(D187&lt;=E187,E187,D187)+G187+H187+I187</f>
        <v>69269</v>
      </c>
      <c r="K187" s="814"/>
      <c r="L187" s="172" t="s">
        <v>435</v>
      </c>
      <c r="M187" s="173">
        <v>195000</v>
      </c>
      <c r="N187" s="182"/>
      <c r="O187" s="1178"/>
      <c r="P187" s="1178"/>
      <c r="Q187" s="1615" t="str">
        <f t="shared" si="145"/>
        <v>-</v>
      </c>
      <c r="R187" s="174"/>
      <c r="S187" s="175"/>
      <c r="T187" s="175"/>
      <c r="U187" s="176">
        <f t="shared" ref="U187:U190" si="147">+M187+IF(O187&lt;=P187,P187,O187)+R187+S187+T187</f>
        <v>195000</v>
      </c>
      <c r="V187" s="156"/>
      <c r="W187" s="156"/>
      <c r="X187" s="118"/>
      <c r="Y187" s="118"/>
      <c r="Z187" s="118"/>
      <c r="AA187" s="118"/>
      <c r="AB187" s="118"/>
      <c r="AC187" s="118"/>
      <c r="AD187" s="118"/>
    </row>
    <row r="188" spans="1:30">
      <c r="A188" s="172" t="s">
        <v>436</v>
      </c>
      <c r="B188" s="173"/>
      <c r="C188" s="182"/>
      <c r="D188" s="1178"/>
      <c r="E188" s="1178"/>
      <c r="F188" s="1615" t="str">
        <f t="shared" si="142"/>
        <v>-</v>
      </c>
      <c r="G188" s="174"/>
      <c r="H188" s="175"/>
      <c r="I188" s="175"/>
      <c r="J188" s="176">
        <f t="shared" si="146"/>
        <v>0</v>
      </c>
      <c r="K188" s="814"/>
      <c r="L188" s="172" t="s">
        <v>436</v>
      </c>
      <c r="M188" s="173"/>
      <c r="N188" s="182"/>
      <c r="O188" s="1178"/>
      <c r="P188" s="1178"/>
      <c r="Q188" s="1615" t="str">
        <f t="shared" si="145"/>
        <v>-</v>
      </c>
      <c r="R188" s="174"/>
      <c r="S188" s="175"/>
      <c r="T188" s="175"/>
      <c r="U188" s="176">
        <f t="shared" si="147"/>
        <v>0</v>
      </c>
      <c r="V188" s="156"/>
      <c r="W188" s="156"/>
      <c r="X188" s="118"/>
      <c r="AB188" s="118"/>
    </row>
    <row r="189" spans="1:30">
      <c r="A189" s="172" t="s">
        <v>437</v>
      </c>
      <c r="B189" s="173"/>
      <c r="C189" s="182"/>
      <c r="D189" s="1178"/>
      <c r="E189" s="1178"/>
      <c r="F189" s="1615" t="str">
        <f t="shared" si="142"/>
        <v>-</v>
      </c>
      <c r="G189" s="174"/>
      <c r="H189" s="175"/>
      <c r="I189" s="175"/>
      <c r="J189" s="176">
        <f t="shared" si="146"/>
        <v>0</v>
      </c>
      <c r="K189" s="814"/>
      <c r="L189" s="172" t="s">
        <v>437</v>
      </c>
      <c r="M189" s="173"/>
      <c r="N189" s="182"/>
      <c r="O189" s="1178"/>
      <c r="P189" s="1178"/>
      <c r="Q189" s="1615" t="str">
        <f t="shared" si="145"/>
        <v>-</v>
      </c>
      <c r="R189" s="174"/>
      <c r="S189" s="175"/>
      <c r="T189" s="175"/>
      <c r="U189" s="176">
        <f t="shared" si="147"/>
        <v>0</v>
      </c>
      <c r="V189" s="156"/>
      <c r="W189" s="156"/>
      <c r="X189" s="118"/>
      <c r="AB189" s="118"/>
    </row>
    <row r="190" spans="1:30" ht="12.75" thickBot="1">
      <c r="A190" s="172" t="s">
        <v>438</v>
      </c>
      <c r="B190" s="173"/>
      <c r="C190" s="182"/>
      <c r="D190" s="1178"/>
      <c r="E190" s="1178"/>
      <c r="F190" s="1615" t="str">
        <f t="shared" si="142"/>
        <v>-</v>
      </c>
      <c r="G190" s="174"/>
      <c r="H190" s="175"/>
      <c r="I190" s="175"/>
      <c r="J190" s="176">
        <f t="shared" si="146"/>
        <v>0</v>
      </c>
      <c r="K190" s="814"/>
      <c r="L190" s="172" t="s">
        <v>438</v>
      </c>
      <c r="M190" s="173"/>
      <c r="N190" s="182"/>
      <c r="O190" s="1178"/>
      <c r="P190" s="1178"/>
      <c r="Q190" s="1615" t="str">
        <f t="shared" si="145"/>
        <v>-</v>
      </c>
      <c r="R190" s="174"/>
      <c r="S190" s="175"/>
      <c r="T190" s="175"/>
      <c r="U190" s="176">
        <f t="shared" si="147"/>
        <v>0</v>
      </c>
      <c r="V190" s="156"/>
      <c r="W190" s="156"/>
      <c r="X190" s="118"/>
      <c r="AB190" s="118"/>
    </row>
    <row r="191" spans="1:30" ht="12.75" thickBot="1">
      <c r="A191" s="155" t="s">
        <v>439</v>
      </c>
      <c r="B191" s="177">
        <f t="shared" ref="B191:J191" si="148">+B185+B187+B188+B189+B190</f>
        <v>997</v>
      </c>
      <c r="C191" s="155">
        <f t="shared" si="148"/>
        <v>68272</v>
      </c>
      <c r="D191" s="1180">
        <f t="shared" ref="D191:E191" si="149">+D185+D187+D188+D189+D190</f>
        <v>598</v>
      </c>
      <c r="E191" s="1180">
        <f t="shared" si="149"/>
        <v>598</v>
      </c>
      <c r="F191" s="1616">
        <f t="shared" si="142"/>
        <v>1</v>
      </c>
      <c r="G191" s="179">
        <f t="shared" si="148"/>
        <v>67674</v>
      </c>
      <c r="H191" s="177">
        <f t="shared" si="148"/>
        <v>0</v>
      </c>
      <c r="I191" s="177">
        <f t="shared" si="148"/>
        <v>0</v>
      </c>
      <c r="J191" s="178">
        <f t="shared" si="148"/>
        <v>69269</v>
      </c>
      <c r="K191" s="814"/>
      <c r="L191" s="155" t="s">
        <v>439</v>
      </c>
      <c r="M191" s="177">
        <f t="shared" ref="M191:U191" si="150">+M185+M187+M188+M189+M190</f>
        <v>8274</v>
      </c>
      <c r="N191" s="155">
        <f t="shared" si="150"/>
        <v>173184</v>
      </c>
      <c r="O191" s="1180">
        <f t="shared" ref="O191:P191" si="151">+O185+O187+O188+O189+O190</f>
        <v>172639</v>
      </c>
      <c r="P191" s="1180">
        <f t="shared" si="151"/>
        <v>172639</v>
      </c>
      <c r="Q191" s="1616">
        <f t="shared" si="145"/>
        <v>1</v>
      </c>
      <c r="R191" s="179">
        <f t="shared" si="150"/>
        <v>9405</v>
      </c>
      <c r="S191" s="177">
        <f t="shared" si="150"/>
        <v>0</v>
      </c>
      <c r="T191" s="177">
        <f t="shared" si="150"/>
        <v>0</v>
      </c>
      <c r="U191" s="178">
        <f t="shared" si="150"/>
        <v>190318</v>
      </c>
      <c r="V191" s="156"/>
      <c r="W191" s="156"/>
    </row>
    <row r="192" spans="1:30" ht="12.75" thickBot="1">
      <c r="A192" s="180"/>
      <c r="B192" s="180"/>
      <c r="C192" s="180"/>
      <c r="D192" s="180"/>
      <c r="E192" s="180"/>
      <c r="F192" s="180"/>
      <c r="G192" s="180"/>
      <c r="H192" s="180"/>
      <c r="I192" s="180"/>
      <c r="J192" s="180"/>
      <c r="K192" s="814"/>
      <c r="L192" s="180"/>
      <c r="M192" s="180"/>
      <c r="N192" s="180"/>
      <c r="O192" s="180"/>
      <c r="P192" s="180"/>
      <c r="Q192" s="180"/>
      <c r="R192" s="180"/>
      <c r="S192" s="180"/>
      <c r="T192" s="180"/>
      <c r="U192" s="180"/>
      <c r="V192" s="180"/>
      <c r="W192" s="180"/>
    </row>
    <row r="193" spans="1:30" s="813" customFormat="1" ht="36.75" thickBot="1">
      <c r="A193" s="353" t="s">
        <v>440</v>
      </c>
      <c r="B193" s="354" t="s">
        <v>1314</v>
      </c>
      <c r="C193" s="1612" t="s">
        <v>1553</v>
      </c>
      <c r="D193" s="881" t="s">
        <v>1554</v>
      </c>
      <c r="E193" s="881" t="s">
        <v>2646</v>
      </c>
      <c r="F193" s="1613" t="s">
        <v>2645</v>
      </c>
      <c r="G193" s="335" t="s">
        <v>461</v>
      </c>
      <c r="H193" s="336" t="s">
        <v>462</v>
      </c>
      <c r="I193" s="336" t="s">
        <v>1313</v>
      </c>
      <c r="J193" s="1769" t="s">
        <v>18</v>
      </c>
      <c r="K193" s="816"/>
      <c r="L193" s="353" t="s">
        <v>440</v>
      </c>
      <c r="M193" s="354" t="s">
        <v>1314</v>
      </c>
      <c r="N193" s="1612" t="s">
        <v>1553</v>
      </c>
      <c r="O193" s="881" t="s">
        <v>1554</v>
      </c>
      <c r="P193" s="881" t="s">
        <v>2646</v>
      </c>
      <c r="Q193" s="1613" t="s">
        <v>2645</v>
      </c>
      <c r="R193" s="335" t="s">
        <v>461</v>
      </c>
      <c r="S193" s="336" t="s">
        <v>462</v>
      </c>
      <c r="T193" s="336" t="s">
        <v>1313</v>
      </c>
      <c r="U193" s="1769" t="s">
        <v>18</v>
      </c>
      <c r="V193" s="798"/>
      <c r="W193" s="798"/>
    </row>
    <row r="194" spans="1:30">
      <c r="A194" s="162" t="s">
        <v>446</v>
      </c>
      <c r="B194" s="163"/>
      <c r="C194" s="1293"/>
      <c r="D194" s="165"/>
      <c r="E194" s="1175"/>
      <c r="F194" s="1614" t="str">
        <f t="shared" ref="F194:F202" si="152">IF(ISERROR(E194/D194),"-",E194/D194)</f>
        <v>-</v>
      </c>
      <c r="G194" s="164"/>
      <c r="H194" s="165"/>
      <c r="I194" s="165"/>
      <c r="J194" s="166">
        <f>+B194+IF(D194&lt;=E194,E194,D194)+G194+H194+I194</f>
        <v>0</v>
      </c>
      <c r="K194" s="814"/>
      <c r="L194" s="162" t="s">
        <v>446</v>
      </c>
      <c r="M194" s="163"/>
      <c r="N194" s="1174"/>
      <c r="O194" s="1175"/>
      <c r="P194" s="1175"/>
      <c r="Q194" s="1614" t="str">
        <f t="shared" ref="Q194:Q202" si="153">IF(ISERROR(P194/O194),"-",P194/O194)</f>
        <v>-</v>
      </c>
      <c r="R194" s="164"/>
      <c r="S194" s="165"/>
      <c r="T194" s="165"/>
      <c r="U194" s="166">
        <f>+M194+IF(O194&lt;=P194,P194,O194)+R194+S194+T194</f>
        <v>0</v>
      </c>
      <c r="V194" s="156"/>
      <c r="W194" s="156"/>
      <c r="X194" s="118"/>
      <c r="Y194" s="118"/>
      <c r="Z194" s="118"/>
      <c r="AA194" s="118"/>
      <c r="AB194" s="118"/>
      <c r="AC194" s="118"/>
      <c r="AD194" s="118"/>
    </row>
    <row r="195" spans="1:30">
      <c r="A195" s="181" t="s">
        <v>447</v>
      </c>
      <c r="B195" s="173"/>
      <c r="C195" s="1209"/>
      <c r="D195" s="175"/>
      <c r="E195" s="1178"/>
      <c r="F195" s="1615" t="str">
        <f t="shared" si="152"/>
        <v>-</v>
      </c>
      <c r="G195" s="174"/>
      <c r="H195" s="175"/>
      <c r="I195" s="175"/>
      <c r="J195" s="176">
        <f t="shared" ref="J195:J201" si="154">+B195+IF(D195&lt;=E195,E195,D195)+G195+H195+I195</f>
        <v>0</v>
      </c>
      <c r="K195" s="814"/>
      <c r="L195" s="181" t="s">
        <v>447</v>
      </c>
      <c r="M195" s="173"/>
      <c r="N195" s="182"/>
      <c r="O195" s="1178"/>
      <c r="P195" s="1178"/>
      <c r="Q195" s="1615" t="str">
        <f t="shared" si="153"/>
        <v>-</v>
      </c>
      <c r="R195" s="174"/>
      <c r="S195" s="175"/>
      <c r="T195" s="175"/>
      <c r="U195" s="176">
        <f t="shared" ref="U195:U201" si="155">+M195+IF(O195&lt;=P195,P195,O195)+R195+S195+T195</f>
        <v>0</v>
      </c>
      <c r="V195" s="156"/>
      <c r="W195" s="156"/>
      <c r="X195" s="118"/>
      <c r="Y195" s="118"/>
      <c r="Z195" s="118"/>
      <c r="AA195" s="118"/>
      <c r="AB195" s="118"/>
      <c r="AC195" s="118"/>
      <c r="AD195" s="118"/>
    </row>
    <row r="196" spans="1:30">
      <c r="A196" s="172" t="s">
        <v>448</v>
      </c>
      <c r="B196" s="173">
        <v>997</v>
      </c>
      <c r="C196" s="1209"/>
      <c r="D196" s="175">
        <v>598</v>
      </c>
      <c r="E196" s="1178">
        <v>598</v>
      </c>
      <c r="F196" s="1615">
        <f t="shared" si="152"/>
        <v>1</v>
      </c>
      <c r="G196" s="174"/>
      <c r="H196" s="175"/>
      <c r="I196" s="175"/>
      <c r="J196" s="176">
        <f t="shared" si="154"/>
        <v>1595</v>
      </c>
      <c r="K196" s="814"/>
      <c r="L196" s="172" t="s">
        <v>448</v>
      </c>
      <c r="M196" s="173">
        <v>2432</v>
      </c>
      <c r="N196" s="182"/>
      <c r="O196" s="1178">
        <v>13339</v>
      </c>
      <c r="P196" s="1178">
        <v>13339</v>
      </c>
      <c r="Q196" s="1615">
        <f t="shared" si="153"/>
        <v>1</v>
      </c>
      <c r="R196" s="174"/>
      <c r="S196" s="175"/>
      <c r="T196" s="175"/>
      <c r="U196" s="176">
        <f t="shared" si="155"/>
        <v>15771</v>
      </c>
      <c r="V196" s="156"/>
      <c r="W196" s="156"/>
      <c r="X196" s="118"/>
      <c r="Y196" s="118"/>
      <c r="Z196" s="118"/>
      <c r="AA196" s="118"/>
      <c r="AB196" s="118"/>
      <c r="AC196" s="118"/>
      <c r="AD196" s="118"/>
    </row>
    <row r="197" spans="1:30">
      <c r="A197" s="172" t="s">
        <v>449</v>
      </c>
      <c r="B197" s="173"/>
      <c r="C197" s="1209"/>
      <c r="D197" s="175"/>
      <c r="E197" s="1178"/>
      <c r="F197" s="1615" t="str">
        <f t="shared" si="152"/>
        <v>-</v>
      </c>
      <c r="G197" s="174"/>
      <c r="H197" s="175"/>
      <c r="I197" s="175"/>
      <c r="J197" s="176">
        <f t="shared" si="154"/>
        <v>0</v>
      </c>
      <c r="K197" s="814"/>
      <c r="L197" s="172" t="s">
        <v>449</v>
      </c>
      <c r="M197" s="173"/>
      <c r="N197" s="182"/>
      <c r="O197" s="1178"/>
      <c r="P197" s="1178"/>
      <c r="Q197" s="1615" t="str">
        <f t="shared" si="153"/>
        <v>-</v>
      </c>
      <c r="R197" s="174"/>
      <c r="S197" s="175"/>
      <c r="T197" s="175"/>
      <c r="U197" s="176">
        <f t="shared" si="155"/>
        <v>0</v>
      </c>
      <c r="V197" s="156"/>
      <c r="W197" s="156"/>
      <c r="X197" s="118"/>
      <c r="Z197" s="118"/>
      <c r="AA197" s="118"/>
      <c r="AB197" s="118"/>
      <c r="AD197" s="118"/>
    </row>
    <row r="198" spans="1:30">
      <c r="A198" s="182" t="s">
        <v>450</v>
      </c>
      <c r="B198" s="183"/>
      <c r="C198" s="1209">
        <v>68272</v>
      </c>
      <c r="D198" s="175">
        <v>0</v>
      </c>
      <c r="E198" s="1178"/>
      <c r="F198" s="1615" t="str">
        <f t="shared" si="152"/>
        <v>-</v>
      </c>
      <c r="G198" s="174">
        <v>67674</v>
      </c>
      <c r="H198" s="175"/>
      <c r="I198" s="175"/>
      <c r="J198" s="176">
        <f t="shared" si="154"/>
        <v>67674</v>
      </c>
      <c r="K198" s="814"/>
      <c r="L198" s="182" t="s">
        <v>450</v>
      </c>
      <c r="M198" s="183"/>
      <c r="N198" s="182">
        <v>173184</v>
      </c>
      <c r="O198" s="1178">
        <v>0</v>
      </c>
      <c r="P198" s="1178"/>
      <c r="Q198" s="1615" t="str">
        <f t="shared" si="153"/>
        <v>-</v>
      </c>
      <c r="R198" s="174">
        <f>14087-4682</f>
        <v>9405</v>
      </c>
      <c r="S198" s="175"/>
      <c r="T198" s="175"/>
      <c r="U198" s="176">
        <f t="shared" si="155"/>
        <v>9405</v>
      </c>
      <c r="V198" s="156"/>
      <c r="W198" s="156"/>
      <c r="X198" s="118"/>
      <c r="Y198" s="118"/>
      <c r="Z198" s="118"/>
      <c r="AA198" s="118"/>
      <c r="AB198" s="118"/>
      <c r="AC198" s="118"/>
      <c r="AD198" s="118"/>
    </row>
    <row r="199" spans="1:30">
      <c r="A199" s="182" t="s">
        <v>451</v>
      </c>
      <c r="B199" s="183"/>
      <c r="C199" s="1209"/>
      <c r="D199" s="175"/>
      <c r="E199" s="1178"/>
      <c r="F199" s="1615" t="str">
        <f t="shared" si="152"/>
        <v>-</v>
      </c>
      <c r="G199" s="174"/>
      <c r="H199" s="175"/>
      <c r="I199" s="175"/>
      <c r="J199" s="176">
        <f t="shared" si="154"/>
        <v>0</v>
      </c>
      <c r="K199" s="814"/>
      <c r="L199" s="182" t="s">
        <v>451</v>
      </c>
      <c r="M199" s="183"/>
      <c r="N199" s="182"/>
      <c r="O199" s="1178"/>
      <c r="P199" s="1178"/>
      <c r="Q199" s="1615" t="str">
        <f t="shared" si="153"/>
        <v>-</v>
      </c>
      <c r="R199" s="174"/>
      <c r="S199" s="175"/>
      <c r="T199" s="175"/>
      <c r="U199" s="176">
        <f t="shared" si="155"/>
        <v>0</v>
      </c>
      <c r="V199" s="156"/>
      <c r="W199" s="156"/>
      <c r="X199" s="118"/>
      <c r="Y199" s="118"/>
      <c r="Z199" s="118"/>
      <c r="AA199" s="118"/>
      <c r="AB199" s="118"/>
      <c r="AC199" s="118"/>
      <c r="AD199" s="118"/>
    </row>
    <row r="200" spans="1:30">
      <c r="A200" s="184" t="s">
        <v>452</v>
      </c>
      <c r="B200" s="185"/>
      <c r="C200" s="1294"/>
      <c r="D200" s="187"/>
      <c r="E200" s="1181"/>
      <c r="F200" s="1617" t="str">
        <f t="shared" si="152"/>
        <v>-</v>
      </c>
      <c r="G200" s="186"/>
      <c r="H200" s="187"/>
      <c r="I200" s="187"/>
      <c r="J200" s="176">
        <f t="shared" si="154"/>
        <v>0</v>
      </c>
      <c r="K200" s="814"/>
      <c r="L200" s="184" t="s">
        <v>452</v>
      </c>
      <c r="M200" s="185">
        <v>5842</v>
      </c>
      <c r="N200" s="184"/>
      <c r="O200" s="1181">
        <f>154619+4682-1</f>
        <v>159300</v>
      </c>
      <c r="P200" s="1181">
        <f>154619+4682-1</f>
        <v>159300</v>
      </c>
      <c r="Q200" s="1617">
        <f t="shared" si="153"/>
        <v>1</v>
      </c>
      <c r="R200" s="174"/>
      <c r="S200" s="187"/>
      <c r="T200" s="187"/>
      <c r="U200" s="176">
        <f t="shared" si="155"/>
        <v>165142</v>
      </c>
      <c r="V200" s="156"/>
      <c r="W200" s="156"/>
      <c r="X200" s="118"/>
      <c r="Y200" s="118"/>
      <c r="Z200" s="118"/>
      <c r="AA200" s="118"/>
      <c r="AB200" s="118"/>
      <c r="AC200" s="118"/>
      <c r="AD200" s="118"/>
    </row>
    <row r="201" spans="1:30" ht="12.75" thickBot="1">
      <c r="A201" s="184" t="s">
        <v>453</v>
      </c>
      <c r="B201" s="185"/>
      <c r="C201" s="1294"/>
      <c r="D201" s="187"/>
      <c r="E201" s="1181"/>
      <c r="F201" s="1617" t="str">
        <f t="shared" si="152"/>
        <v>-</v>
      </c>
      <c r="G201" s="186"/>
      <c r="H201" s="187"/>
      <c r="I201" s="187"/>
      <c r="J201" s="176">
        <f t="shared" si="154"/>
        <v>0</v>
      </c>
      <c r="K201" s="814"/>
      <c r="L201" s="184" t="s">
        <v>453</v>
      </c>
      <c r="M201" s="185"/>
      <c r="N201" s="184"/>
      <c r="O201" s="1181"/>
      <c r="P201" s="1181"/>
      <c r="Q201" s="1617" t="str">
        <f t="shared" si="153"/>
        <v>-</v>
      </c>
      <c r="R201" s="186"/>
      <c r="S201" s="187"/>
      <c r="T201" s="187"/>
      <c r="U201" s="176">
        <f t="shared" si="155"/>
        <v>0</v>
      </c>
      <c r="V201" s="156"/>
      <c r="W201" s="156"/>
      <c r="X201" s="118"/>
      <c r="Y201" s="118"/>
      <c r="Z201" s="118"/>
      <c r="AA201" s="118"/>
      <c r="AB201" s="118"/>
      <c r="AC201" s="118"/>
      <c r="AD201" s="118"/>
    </row>
    <row r="202" spans="1:30" ht="12.75" thickBot="1">
      <c r="A202" s="155" t="s">
        <v>454</v>
      </c>
      <c r="B202" s="177">
        <f t="shared" ref="B202:J202" si="156">+B194+B195+B196+B197+B198+B199+B200+B201</f>
        <v>997</v>
      </c>
      <c r="C202" s="1208">
        <f t="shared" si="156"/>
        <v>68272</v>
      </c>
      <c r="D202" s="177">
        <f t="shared" ref="D202:E202" si="157">+D194+D195+D196+D197+D198+D199+D200+D201</f>
        <v>598</v>
      </c>
      <c r="E202" s="1180">
        <f t="shared" si="157"/>
        <v>598</v>
      </c>
      <c r="F202" s="1616">
        <f t="shared" si="152"/>
        <v>1</v>
      </c>
      <c r="G202" s="179">
        <f t="shared" si="156"/>
        <v>67674</v>
      </c>
      <c r="H202" s="177">
        <f t="shared" si="156"/>
        <v>0</v>
      </c>
      <c r="I202" s="177">
        <f t="shared" si="156"/>
        <v>0</v>
      </c>
      <c r="J202" s="178">
        <f t="shared" si="156"/>
        <v>69269</v>
      </c>
      <c r="L202" s="155" t="s">
        <v>454</v>
      </c>
      <c r="M202" s="177">
        <f t="shared" ref="M202:U202" si="158">+M194+M195+M196+M197+M198+M199+M200+M201</f>
        <v>8274</v>
      </c>
      <c r="N202" s="155">
        <f t="shared" si="158"/>
        <v>173184</v>
      </c>
      <c r="O202" s="1180">
        <f t="shared" ref="O202:P202" si="159">+O194+O195+O196+O197+O198+O199+O200+O201</f>
        <v>172639</v>
      </c>
      <c r="P202" s="1180">
        <f t="shared" si="159"/>
        <v>172639</v>
      </c>
      <c r="Q202" s="1616">
        <f t="shared" si="153"/>
        <v>1</v>
      </c>
      <c r="R202" s="179">
        <f t="shared" si="158"/>
        <v>9405</v>
      </c>
      <c r="S202" s="177">
        <f t="shared" si="158"/>
        <v>0</v>
      </c>
      <c r="T202" s="177">
        <f t="shared" si="158"/>
        <v>0</v>
      </c>
      <c r="U202" s="178">
        <f t="shared" si="158"/>
        <v>190318</v>
      </c>
      <c r="V202" s="156"/>
      <c r="W202" s="156"/>
      <c r="Y202" s="814"/>
      <c r="AC202" s="814"/>
    </row>
    <row r="203" spans="1:30">
      <c r="A203" s="156"/>
      <c r="B203" s="156"/>
      <c r="C203" s="156"/>
      <c r="D203" s="156"/>
      <c r="E203" s="156"/>
      <c r="F203" s="156"/>
      <c r="G203" s="156"/>
      <c r="H203" s="156"/>
      <c r="I203" s="156"/>
      <c r="J203" s="156"/>
      <c r="K203" s="814"/>
      <c r="L203" s="156"/>
      <c r="M203" s="156"/>
      <c r="N203" s="156"/>
      <c r="O203" s="156"/>
      <c r="P203" s="156"/>
      <c r="Q203" s="156"/>
      <c r="R203" s="156"/>
      <c r="S203" s="156"/>
      <c r="T203" s="156"/>
      <c r="U203" s="156"/>
      <c r="V203" s="156"/>
      <c r="W203" s="156"/>
    </row>
    <row r="205" spans="1:30" s="807" customFormat="1" ht="15.75">
      <c r="A205" s="154" t="s">
        <v>1508</v>
      </c>
      <c r="B205" s="1767" t="s">
        <v>1522</v>
      </c>
      <c r="C205" s="1767"/>
      <c r="D205" s="1767"/>
      <c r="E205" s="1767"/>
      <c r="F205" s="1767"/>
      <c r="G205" s="1767"/>
      <c r="H205" s="1767"/>
      <c r="I205" s="1767"/>
      <c r="J205" s="1767"/>
      <c r="K205" s="719"/>
      <c r="L205" s="154" t="s">
        <v>1509</v>
      </c>
      <c r="M205" s="1767" t="s">
        <v>1524</v>
      </c>
      <c r="N205" s="1767"/>
      <c r="O205" s="1767"/>
      <c r="P205" s="1767"/>
      <c r="Q205" s="1767"/>
      <c r="R205" s="1767"/>
      <c r="S205" s="1767"/>
      <c r="T205" s="1767"/>
      <c r="U205" s="1767"/>
      <c r="V205" s="1767"/>
      <c r="W205" s="1767"/>
    </row>
    <row r="206" spans="1:30" s="807" customFormat="1" ht="15.75" customHeight="1">
      <c r="A206" s="1819" t="s">
        <v>1523</v>
      </c>
      <c r="B206" s="1819"/>
      <c r="C206" s="1819"/>
      <c r="D206" s="1819"/>
      <c r="E206" s="1819"/>
      <c r="F206" s="1819"/>
      <c r="G206" s="1819"/>
      <c r="H206" s="1819"/>
      <c r="I206" s="1819"/>
      <c r="J206" s="1819"/>
      <c r="K206" s="719"/>
      <c r="L206" s="1819" t="s">
        <v>1525</v>
      </c>
      <c r="M206" s="1819"/>
      <c r="N206" s="1819"/>
      <c r="O206" s="1819"/>
      <c r="P206" s="1819"/>
      <c r="Q206" s="1819"/>
      <c r="R206" s="1819"/>
      <c r="S206" s="1819"/>
      <c r="T206" s="1819"/>
      <c r="U206" s="1819"/>
      <c r="V206" s="1766"/>
      <c r="W206" s="1766"/>
    </row>
    <row r="207" spans="1:30" s="807" customFormat="1" ht="15.75">
      <c r="A207" s="1818" t="s">
        <v>1120</v>
      </c>
      <c r="B207" s="1818"/>
      <c r="C207" s="1818"/>
      <c r="D207" s="1818"/>
      <c r="E207" s="1818"/>
      <c r="F207" s="1818"/>
      <c r="G207" s="1818"/>
      <c r="H207" s="1818"/>
      <c r="I207" s="1818"/>
      <c r="J207" s="1818"/>
      <c r="K207" s="719"/>
      <c r="L207" s="1818" t="s">
        <v>1120</v>
      </c>
      <c r="M207" s="1818"/>
      <c r="N207" s="1818"/>
      <c r="O207" s="1818"/>
      <c r="P207" s="1818"/>
      <c r="Q207" s="1818"/>
      <c r="R207" s="1818"/>
      <c r="S207" s="1818"/>
      <c r="T207" s="1818"/>
      <c r="U207" s="1818"/>
      <c r="V207" s="1765"/>
      <c r="W207" s="1765"/>
    </row>
    <row r="208" spans="1:30" s="810" customFormat="1" ht="12.75" thickBot="1">
      <c r="A208" s="809"/>
      <c r="B208" s="809"/>
      <c r="G208" s="809"/>
      <c r="H208" s="809"/>
      <c r="J208" s="199" t="s">
        <v>281</v>
      </c>
      <c r="K208" s="811"/>
      <c r="L208" s="809"/>
      <c r="M208" s="809"/>
      <c r="N208" s="809"/>
      <c r="O208" s="809"/>
      <c r="P208" s="809"/>
      <c r="Q208" s="809"/>
      <c r="R208" s="809"/>
      <c r="S208" s="809"/>
      <c r="U208" s="199" t="s">
        <v>281</v>
      </c>
      <c r="V208" s="797"/>
      <c r="W208" s="797"/>
    </row>
    <row r="209" spans="1:30" s="813" customFormat="1" ht="36.75" thickBot="1">
      <c r="A209" s="353" t="s">
        <v>432</v>
      </c>
      <c r="B209" s="354" t="s">
        <v>1314</v>
      </c>
      <c r="C209" s="1612" t="s">
        <v>1553</v>
      </c>
      <c r="D209" s="881" t="s">
        <v>1554</v>
      </c>
      <c r="E209" s="881" t="s">
        <v>2646</v>
      </c>
      <c r="F209" s="1613" t="s">
        <v>2645</v>
      </c>
      <c r="G209" s="335" t="s">
        <v>461</v>
      </c>
      <c r="H209" s="336" t="s">
        <v>462</v>
      </c>
      <c r="I209" s="336" t="s">
        <v>1313</v>
      </c>
      <c r="J209" s="1769" t="s">
        <v>18</v>
      </c>
      <c r="K209" s="816"/>
      <c r="L209" s="353" t="s">
        <v>432</v>
      </c>
      <c r="M209" s="354" t="s">
        <v>1314</v>
      </c>
      <c r="N209" s="1612" t="s">
        <v>1553</v>
      </c>
      <c r="O209" s="881" t="s">
        <v>1554</v>
      </c>
      <c r="P209" s="881" t="s">
        <v>2646</v>
      </c>
      <c r="Q209" s="1613" t="s">
        <v>2645</v>
      </c>
      <c r="R209" s="335" t="s">
        <v>461</v>
      </c>
      <c r="S209" s="336" t="s">
        <v>462</v>
      </c>
      <c r="T209" s="336" t="s">
        <v>1313</v>
      </c>
      <c r="U209" s="1769" t="s">
        <v>18</v>
      </c>
      <c r="V209" s="798"/>
      <c r="W209" s="798"/>
    </row>
    <row r="210" spans="1:30">
      <c r="A210" s="162" t="s">
        <v>433</v>
      </c>
      <c r="B210" s="163">
        <f t="shared" ref="B210:J210" si="160">+B227-B215-B214-B213-B212</f>
        <v>5733</v>
      </c>
      <c r="C210" s="1174">
        <f t="shared" si="160"/>
        <v>482</v>
      </c>
      <c r="D210" s="1175">
        <f t="shared" ref="D210:E210" si="161">+D227-D215-D214-D213-D212</f>
        <v>-5593</v>
      </c>
      <c r="E210" s="1175">
        <f t="shared" si="161"/>
        <v>-5593</v>
      </c>
      <c r="F210" s="1614">
        <f t="shared" ref="F210:F216" si="162">IF(ISERROR(E210/D210),"-",E210/D210)</f>
        <v>1</v>
      </c>
      <c r="G210" s="164">
        <f t="shared" si="160"/>
        <v>-140</v>
      </c>
      <c r="H210" s="165">
        <f t="shared" si="160"/>
        <v>0</v>
      </c>
      <c r="I210" s="165">
        <f t="shared" si="160"/>
        <v>0</v>
      </c>
      <c r="J210" s="166">
        <f t="shared" si="160"/>
        <v>0</v>
      </c>
      <c r="K210" s="814"/>
      <c r="L210" s="162" t="s">
        <v>433</v>
      </c>
      <c r="M210" s="163">
        <f t="shared" ref="M210:U210" si="163">+M227-M215-M214-M213-M212</f>
        <v>-36651</v>
      </c>
      <c r="N210" s="1174">
        <f t="shared" si="163"/>
        <v>68674</v>
      </c>
      <c r="O210" s="1175">
        <f t="shared" ref="O210:P210" si="164">+O227-O215-O214-O213-O212</f>
        <v>17718</v>
      </c>
      <c r="P210" s="1175">
        <f t="shared" si="164"/>
        <v>17718</v>
      </c>
      <c r="Q210" s="1614">
        <f t="shared" ref="Q210:Q216" si="165">IF(ISERROR(P210/O210),"-",P210/O210)</f>
        <v>1</v>
      </c>
      <c r="R210" s="164">
        <f t="shared" si="163"/>
        <v>18933</v>
      </c>
      <c r="S210" s="165">
        <f t="shared" si="163"/>
        <v>0</v>
      </c>
      <c r="T210" s="165">
        <f t="shared" si="163"/>
        <v>0</v>
      </c>
      <c r="U210" s="166">
        <f t="shared" si="163"/>
        <v>0</v>
      </c>
      <c r="V210" s="156"/>
      <c r="W210" s="156"/>
    </row>
    <row r="211" spans="1:30">
      <c r="A211" s="167" t="s">
        <v>434</v>
      </c>
      <c r="B211" s="168"/>
      <c r="C211" s="1176"/>
      <c r="D211" s="1177"/>
      <c r="E211" s="1177"/>
      <c r="F211" s="1615" t="str">
        <f t="shared" si="162"/>
        <v>-</v>
      </c>
      <c r="G211" s="169"/>
      <c r="H211" s="170"/>
      <c r="I211" s="170"/>
      <c r="J211" s="171">
        <f>+B211+IF(D211&lt;=E211,E211,D211)+G211+H211+I211</f>
        <v>0</v>
      </c>
      <c r="K211" s="814"/>
      <c r="L211" s="167" t="s">
        <v>434</v>
      </c>
      <c r="M211" s="168"/>
      <c r="N211" s="1176"/>
      <c r="O211" s="1177"/>
      <c r="P211" s="1177"/>
      <c r="Q211" s="1615" t="str">
        <f t="shared" si="165"/>
        <v>-</v>
      </c>
      <c r="R211" s="169"/>
      <c r="S211" s="170"/>
      <c r="T211" s="170"/>
      <c r="U211" s="171">
        <f>+M211+IF(O211&lt;=P211,P211,O211)+R211+S211+T211</f>
        <v>0</v>
      </c>
      <c r="V211" s="799"/>
      <c r="W211" s="799"/>
      <c r="X211" s="118"/>
      <c r="AB211" s="118"/>
    </row>
    <row r="212" spans="1:30">
      <c r="A212" s="172" t="s">
        <v>435</v>
      </c>
      <c r="B212" s="173">
        <v>59791</v>
      </c>
      <c r="C212" s="182"/>
      <c r="D212" s="1178">
        <v>89875</v>
      </c>
      <c r="E212" s="1178">
        <v>89875</v>
      </c>
      <c r="F212" s="1615">
        <f t="shared" si="162"/>
        <v>1</v>
      </c>
      <c r="G212" s="174">
        <v>140</v>
      </c>
      <c r="H212" s="175"/>
      <c r="I212" s="175"/>
      <c r="J212" s="176">
        <f t="shared" ref="J212:J215" si="166">+B212+IF(D212&lt;=E212,E212,D212)+G212+H212+I212</f>
        <v>149806</v>
      </c>
      <c r="K212" s="814"/>
      <c r="L212" s="172" t="s">
        <v>435</v>
      </c>
      <c r="M212" s="173">
        <v>114709</v>
      </c>
      <c r="N212" s="182"/>
      <c r="O212" s="1178">
        <v>26510</v>
      </c>
      <c r="P212" s="1178">
        <v>26510</v>
      </c>
      <c r="Q212" s="1615">
        <f t="shared" si="165"/>
        <v>1</v>
      </c>
      <c r="R212" s="174"/>
      <c r="S212" s="175"/>
      <c r="T212" s="175"/>
      <c r="U212" s="176">
        <f t="shared" ref="U212:U215" si="167">+M212+IF(O212&lt;=P212,P212,O212)+R212+S212+T212</f>
        <v>141219</v>
      </c>
      <c r="V212" s="156"/>
      <c r="W212" s="156"/>
      <c r="X212" s="118"/>
      <c r="Y212" s="118"/>
      <c r="Z212" s="118"/>
      <c r="AA212" s="118"/>
      <c r="AB212" s="118"/>
      <c r="AC212" s="118"/>
      <c r="AD212" s="118"/>
    </row>
    <row r="213" spans="1:30">
      <c r="A213" s="172" t="s">
        <v>436</v>
      </c>
      <c r="B213" s="173"/>
      <c r="C213" s="182"/>
      <c r="D213" s="1178"/>
      <c r="E213" s="1178"/>
      <c r="F213" s="1615" t="str">
        <f t="shared" si="162"/>
        <v>-</v>
      </c>
      <c r="G213" s="174"/>
      <c r="H213" s="175"/>
      <c r="I213" s="175"/>
      <c r="J213" s="176">
        <f t="shared" si="166"/>
        <v>0</v>
      </c>
      <c r="K213" s="814"/>
      <c r="L213" s="172" t="s">
        <v>436</v>
      </c>
      <c r="M213" s="173"/>
      <c r="N213" s="182"/>
      <c r="O213" s="1178"/>
      <c r="P213" s="1178"/>
      <c r="Q213" s="1615" t="str">
        <f t="shared" si="165"/>
        <v>-</v>
      </c>
      <c r="R213" s="174"/>
      <c r="S213" s="175"/>
      <c r="T213" s="175"/>
      <c r="U213" s="176">
        <f t="shared" si="167"/>
        <v>0</v>
      </c>
      <c r="V213" s="156"/>
      <c r="W213" s="156"/>
      <c r="X213" s="118"/>
      <c r="AB213" s="118"/>
    </row>
    <row r="214" spans="1:30">
      <c r="A214" s="172" t="s">
        <v>437</v>
      </c>
      <c r="B214" s="173"/>
      <c r="C214" s="182"/>
      <c r="D214" s="1178"/>
      <c r="E214" s="1178"/>
      <c r="F214" s="1615" t="str">
        <f t="shared" si="162"/>
        <v>-</v>
      </c>
      <c r="G214" s="174"/>
      <c r="H214" s="175"/>
      <c r="I214" s="175"/>
      <c r="J214" s="176">
        <f t="shared" si="166"/>
        <v>0</v>
      </c>
      <c r="K214" s="814"/>
      <c r="L214" s="172" t="s">
        <v>437</v>
      </c>
      <c r="M214" s="173"/>
      <c r="N214" s="182"/>
      <c r="O214" s="1178"/>
      <c r="P214" s="1178"/>
      <c r="Q214" s="1615" t="str">
        <f t="shared" si="165"/>
        <v>-</v>
      </c>
      <c r="R214" s="174"/>
      <c r="S214" s="175"/>
      <c r="T214" s="175"/>
      <c r="U214" s="176">
        <f t="shared" si="167"/>
        <v>0</v>
      </c>
      <c r="V214" s="156"/>
      <c r="W214" s="156"/>
      <c r="X214" s="118"/>
      <c r="AB214" s="118"/>
    </row>
    <row r="215" spans="1:30" ht="12.75" thickBot="1">
      <c r="A215" s="172" t="s">
        <v>438</v>
      </c>
      <c r="B215" s="173"/>
      <c r="C215" s="182"/>
      <c r="D215" s="1178"/>
      <c r="E215" s="1178"/>
      <c r="F215" s="1615" t="str">
        <f t="shared" si="162"/>
        <v>-</v>
      </c>
      <c r="G215" s="174"/>
      <c r="H215" s="175"/>
      <c r="I215" s="175"/>
      <c r="J215" s="176">
        <f t="shared" si="166"/>
        <v>0</v>
      </c>
      <c r="K215" s="814"/>
      <c r="L215" s="172" t="s">
        <v>438</v>
      </c>
      <c r="M215" s="173"/>
      <c r="N215" s="182"/>
      <c r="O215" s="1178"/>
      <c r="P215" s="1178"/>
      <c r="Q215" s="1615" t="str">
        <f t="shared" si="165"/>
        <v>-</v>
      </c>
      <c r="R215" s="174"/>
      <c r="S215" s="175"/>
      <c r="T215" s="175"/>
      <c r="U215" s="176">
        <f t="shared" si="167"/>
        <v>0</v>
      </c>
      <c r="V215" s="156"/>
      <c r="W215" s="156"/>
      <c r="X215" s="118"/>
      <c r="AB215" s="118"/>
    </row>
    <row r="216" spans="1:30" ht="12.75" thickBot="1">
      <c r="A216" s="155" t="s">
        <v>439</v>
      </c>
      <c r="B216" s="177">
        <f t="shared" ref="B216:J216" si="168">+B210+B212+B213+B214+B215</f>
        <v>65524</v>
      </c>
      <c r="C216" s="155">
        <f t="shared" si="168"/>
        <v>482</v>
      </c>
      <c r="D216" s="1180">
        <f t="shared" ref="D216:E216" si="169">+D210+D212+D213+D214+D215</f>
        <v>84282</v>
      </c>
      <c r="E216" s="1180">
        <f t="shared" si="169"/>
        <v>84282</v>
      </c>
      <c r="F216" s="1616">
        <f t="shared" si="162"/>
        <v>1</v>
      </c>
      <c r="G216" s="179">
        <f t="shared" si="168"/>
        <v>0</v>
      </c>
      <c r="H216" s="177">
        <f t="shared" si="168"/>
        <v>0</v>
      </c>
      <c r="I216" s="177">
        <f t="shared" si="168"/>
        <v>0</v>
      </c>
      <c r="J216" s="178">
        <f t="shared" si="168"/>
        <v>149806</v>
      </c>
      <c r="K216" s="814"/>
      <c r="L216" s="155" t="s">
        <v>439</v>
      </c>
      <c r="M216" s="177">
        <f t="shared" ref="M216:U216" si="170">+M210+M212+M213+M214+M215</f>
        <v>78058</v>
      </c>
      <c r="N216" s="155">
        <f t="shared" si="170"/>
        <v>68674</v>
      </c>
      <c r="O216" s="1180">
        <f t="shared" ref="O216:P216" si="171">+O210+O212+O213+O214+O215</f>
        <v>44228</v>
      </c>
      <c r="P216" s="1180">
        <f t="shared" si="171"/>
        <v>44228</v>
      </c>
      <c r="Q216" s="1616">
        <f t="shared" si="165"/>
        <v>1</v>
      </c>
      <c r="R216" s="179">
        <f t="shared" si="170"/>
        <v>18933</v>
      </c>
      <c r="S216" s="177">
        <f t="shared" si="170"/>
        <v>0</v>
      </c>
      <c r="T216" s="177">
        <f t="shared" si="170"/>
        <v>0</v>
      </c>
      <c r="U216" s="178">
        <f t="shared" si="170"/>
        <v>141219</v>
      </c>
      <c r="V216" s="156"/>
      <c r="W216" s="156"/>
    </row>
    <row r="217" spans="1:30" ht="12.75" thickBot="1">
      <c r="A217" s="180"/>
      <c r="B217" s="180"/>
      <c r="C217" s="180"/>
      <c r="D217" s="180"/>
      <c r="E217" s="180"/>
      <c r="F217" s="180"/>
      <c r="G217" s="180"/>
      <c r="H217" s="180"/>
      <c r="I217" s="180"/>
      <c r="J217" s="180"/>
      <c r="K217" s="814"/>
      <c r="L217" s="180"/>
      <c r="M217" s="180"/>
      <c r="N217" s="180"/>
      <c r="O217" s="180"/>
      <c r="P217" s="180"/>
      <c r="Q217" s="180"/>
      <c r="R217" s="180"/>
      <c r="S217" s="180"/>
      <c r="T217" s="180"/>
      <c r="U217" s="180"/>
      <c r="V217" s="180"/>
      <c r="W217" s="180"/>
    </row>
    <row r="218" spans="1:30" s="813" customFormat="1" ht="36.75" thickBot="1">
      <c r="A218" s="353" t="s">
        <v>440</v>
      </c>
      <c r="B218" s="354" t="s">
        <v>1314</v>
      </c>
      <c r="C218" s="1612" t="s">
        <v>1553</v>
      </c>
      <c r="D218" s="881" t="s">
        <v>1554</v>
      </c>
      <c r="E218" s="881" t="s">
        <v>2646</v>
      </c>
      <c r="F218" s="1613" t="s">
        <v>2645</v>
      </c>
      <c r="G218" s="335" t="s">
        <v>461</v>
      </c>
      <c r="H218" s="336" t="s">
        <v>462</v>
      </c>
      <c r="I218" s="336" t="s">
        <v>1313</v>
      </c>
      <c r="J218" s="1769" t="s">
        <v>18</v>
      </c>
      <c r="K218" s="816"/>
      <c r="L218" s="353" t="s">
        <v>440</v>
      </c>
      <c r="M218" s="354" t="s">
        <v>1314</v>
      </c>
      <c r="N218" s="1612" t="s">
        <v>1553</v>
      </c>
      <c r="O218" s="881" t="s">
        <v>1554</v>
      </c>
      <c r="P218" s="881" t="s">
        <v>2646</v>
      </c>
      <c r="Q218" s="1613" t="s">
        <v>2645</v>
      </c>
      <c r="R218" s="335" t="s">
        <v>461</v>
      </c>
      <c r="S218" s="336" t="s">
        <v>462</v>
      </c>
      <c r="T218" s="336" t="s">
        <v>1313</v>
      </c>
      <c r="U218" s="1769" t="s">
        <v>18</v>
      </c>
      <c r="V218" s="798"/>
      <c r="W218" s="798"/>
    </row>
    <row r="219" spans="1:30">
      <c r="A219" s="162" t="s">
        <v>446</v>
      </c>
      <c r="B219" s="163">
        <v>24025</v>
      </c>
      <c r="C219" s="1174"/>
      <c r="D219" s="1175">
        <v>28882</v>
      </c>
      <c r="E219" s="1175">
        <v>28882</v>
      </c>
      <c r="F219" s="1614">
        <f t="shared" ref="F219:F227" si="172">IF(ISERROR(E219/D219),"-",E219/D219)</f>
        <v>1</v>
      </c>
      <c r="G219" s="164"/>
      <c r="H219" s="165"/>
      <c r="I219" s="165"/>
      <c r="J219" s="166">
        <f>+B219+IF(D219&lt;=E219,E219,D219)+G219+H219+I219</f>
        <v>52907</v>
      </c>
      <c r="K219" s="814"/>
      <c r="L219" s="162" t="s">
        <v>446</v>
      </c>
      <c r="M219" s="163">
        <v>9940</v>
      </c>
      <c r="N219" s="1174"/>
      <c r="O219" s="1175">
        <v>24578</v>
      </c>
      <c r="P219" s="1175">
        <v>24578</v>
      </c>
      <c r="Q219" s="1614">
        <f t="shared" ref="Q219:Q227" si="173">IF(ISERROR(P219/O219),"-",P219/O219)</f>
        <v>1</v>
      </c>
      <c r="R219" s="164"/>
      <c r="S219" s="165"/>
      <c r="T219" s="165"/>
      <c r="U219" s="166">
        <f>+M219+IF(O219&lt;=P219,P219,O219)+R219+S219+T219</f>
        <v>34518</v>
      </c>
      <c r="V219" s="156"/>
      <c r="W219" s="156"/>
      <c r="X219" s="118"/>
      <c r="Y219" s="118"/>
      <c r="Z219" s="118"/>
      <c r="AA219" s="118"/>
      <c r="AB219" s="118"/>
      <c r="AC219" s="118"/>
      <c r="AD219" s="118"/>
    </row>
    <row r="220" spans="1:30">
      <c r="A220" s="181" t="s">
        <v>447</v>
      </c>
      <c r="B220" s="173">
        <v>4328</v>
      </c>
      <c r="C220" s="182"/>
      <c r="D220" s="1178">
        <v>5061</v>
      </c>
      <c r="E220" s="1178">
        <v>5061</v>
      </c>
      <c r="F220" s="1615">
        <f t="shared" si="172"/>
        <v>1</v>
      </c>
      <c r="G220" s="174"/>
      <c r="H220" s="175"/>
      <c r="I220" s="175"/>
      <c r="J220" s="176">
        <f t="shared" ref="J220:J226" si="174">+B220+IF(D220&lt;=E220,E220,D220)+G220+H220+I220</f>
        <v>9389</v>
      </c>
      <c r="K220" s="814"/>
      <c r="L220" s="181" t="s">
        <v>447</v>
      </c>
      <c r="M220" s="173">
        <v>1850</v>
      </c>
      <c r="N220" s="182"/>
      <c r="O220" s="1178">
        <v>4321</v>
      </c>
      <c r="P220" s="1178">
        <v>4321</v>
      </c>
      <c r="Q220" s="1615">
        <f t="shared" si="173"/>
        <v>1</v>
      </c>
      <c r="R220" s="174"/>
      <c r="S220" s="175"/>
      <c r="T220" s="175"/>
      <c r="U220" s="176">
        <f t="shared" ref="U220:U226" si="175">+M220+IF(O220&lt;=P220,P220,O220)+R220+S220+T220</f>
        <v>6171</v>
      </c>
      <c r="V220" s="156"/>
      <c r="W220" s="156"/>
      <c r="X220" s="118"/>
      <c r="Y220" s="118"/>
      <c r="Z220" s="118"/>
      <c r="AA220" s="118"/>
      <c r="AB220" s="118"/>
      <c r="AC220" s="118"/>
      <c r="AD220" s="118"/>
    </row>
    <row r="221" spans="1:30">
      <c r="A221" s="172" t="s">
        <v>448</v>
      </c>
      <c r="B221" s="173">
        <v>32966</v>
      </c>
      <c r="C221" s="182"/>
      <c r="D221" s="1178">
        <v>50295</v>
      </c>
      <c r="E221" s="1178">
        <v>50295</v>
      </c>
      <c r="F221" s="1615">
        <f t="shared" si="172"/>
        <v>1</v>
      </c>
      <c r="G221" s="174"/>
      <c r="H221" s="175"/>
      <c r="I221" s="175"/>
      <c r="J221" s="176">
        <f t="shared" si="174"/>
        <v>83261</v>
      </c>
      <c r="K221" s="814"/>
      <c r="L221" s="172" t="s">
        <v>448</v>
      </c>
      <c r="M221" s="173">
        <v>58079</v>
      </c>
      <c r="N221" s="182"/>
      <c r="O221" s="1178">
        <v>7829</v>
      </c>
      <c r="P221" s="1178">
        <f>7826+3</f>
        <v>7829</v>
      </c>
      <c r="Q221" s="1615">
        <f t="shared" si="173"/>
        <v>1</v>
      </c>
      <c r="R221" s="174"/>
      <c r="S221" s="175"/>
      <c r="T221" s="175"/>
      <c r="U221" s="176">
        <f t="shared" si="175"/>
        <v>65908</v>
      </c>
      <c r="V221" s="156"/>
      <c r="W221" s="156"/>
      <c r="X221" s="118"/>
      <c r="Y221" s="118"/>
      <c r="Z221" s="118"/>
      <c r="AA221" s="118"/>
      <c r="AB221" s="118"/>
      <c r="AC221" s="118"/>
      <c r="AD221" s="118"/>
    </row>
    <row r="222" spans="1:30">
      <c r="A222" s="172" t="s">
        <v>449</v>
      </c>
      <c r="B222" s="173"/>
      <c r="C222" s="182"/>
      <c r="D222" s="1178"/>
      <c r="E222" s="1178"/>
      <c r="F222" s="1615" t="str">
        <f t="shared" si="172"/>
        <v>-</v>
      </c>
      <c r="G222" s="174"/>
      <c r="H222" s="175"/>
      <c r="I222" s="175"/>
      <c r="J222" s="176">
        <f t="shared" si="174"/>
        <v>0</v>
      </c>
      <c r="K222" s="814"/>
      <c r="L222" s="172" t="s">
        <v>449</v>
      </c>
      <c r="M222" s="173"/>
      <c r="N222" s="182"/>
      <c r="O222" s="1178"/>
      <c r="P222" s="1178"/>
      <c r="Q222" s="1615" t="str">
        <f t="shared" si="173"/>
        <v>-</v>
      </c>
      <c r="R222" s="174"/>
      <c r="S222" s="175"/>
      <c r="T222" s="175"/>
      <c r="U222" s="176">
        <f t="shared" si="175"/>
        <v>0</v>
      </c>
      <c r="V222" s="156"/>
      <c r="W222" s="156"/>
      <c r="X222" s="118"/>
      <c r="Z222" s="118"/>
      <c r="AA222" s="118"/>
      <c r="AB222" s="118"/>
      <c r="AD222" s="118"/>
    </row>
    <row r="223" spans="1:30">
      <c r="A223" s="182" t="s">
        <v>450</v>
      </c>
      <c r="B223" s="183"/>
      <c r="C223" s="182">
        <v>482</v>
      </c>
      <c r="D223" s="1178">
        <v>0</v>
      </c>
      <c r="E223" s="1178"/>
      <c r="F223" s="1615" t="str">
        <f t="shared" si="172"/>
        <v>-</v>
      </c>
      <c r="G223" s="174"/>
      <c r="H223" s="175"/>
      <c r="I223" s="175"/>
      <c r="J223" s="176">
        <f t="shared" si="174"/>
        <v>0</v>
      </c>
      <c r="K223" s="814"/>
      <c r="L223" s="182" t="s">
        <v>450</v>
      </c>
      <c r="M223" s="183">
        <v>2600</v>
      </c>
      <c r="N223" s="182">
        <v>68674</v>
      </c>
      <c r="O223" s="1178">
        <v>7500</v>
      </c>
      <c r="P223" s="1178">
        <v>7500</v>
      </c>
      <c r="Q223" s="1615">
        <f t="shared" si="173"/>
        <v>1</v>
      </c>
      <c r="R223" s="174">
        <v>18933</v>
      </c>
      <c r="S223" s="175"/>
      <c r="T223" s="175"/>
      <c r="U223" s="176">
        <f t="shared" si="175"/>
        <v>29033</v>
      </c>
      <c r="V223" s="156"/>
      <c r="W223" s="156"/>
      <c r="X223" s="118"/>
      <c r="Y223" s="118"/>
      <c r="Z223" s="118"/>
      <c r="AA223" s="118"/>
      <c r="AB223" s="118"/>
      <c r="AC223" s="118"/>
      <c r="AD223" s="118"/>
    </row>
    <row r="224" spans="1:30">
      <c r="A224" s="182" t="s">
        <v>451</v>
      </c>
      <c r="B224" s="183">
        <v>4205</v>
      </c>
      <c r="C224" s="182"/>
      <c r="D224" s="1178">
        <v>44</v>
      </c>
      <c r="E224" s="1178">
        <v>44</v>
      </c>
      <c r="F224" s="1615">
        <f t="shared" si="172"/>
        <v>1</v>
      </c>
      <c r="G224" s="174"/>
      <c r="H224" s="175"/>
      <c r="I224" s="175"/>
      <c r="J224" s="176">
        <f t="shared" si="174"/>
        <v>4249</v>
      </c>
      <c r="K224" s="814"/>
      <c r="L224" s="182" t="s">
        <v>451</v>
      </c>
      <c r="M224" s="183">
        <v>5589</v>
      </c>
      <c r="N224" s="182"/>
      <c r="O224" s="1178"/>
      <c r="P224" s="1178"/>
      <c r="Q224" s="1615" t="str">
        <f t="shared" si="173"/>
        <v>-</v>
      </c>
      <c r="R224" s="174"/>
      <c r="S224" s="175"/>
      <c r="T224" s="175"/>
      <c r="U224" s="176">
        <f t="shared" si="175"/>
        <v>5589</v>
      </c>
      <c r="V224" s="156"/>
      <c r="W224" s="156"/>
      <c r="X224" s="118"/>
      <c r="Y224" s="118"/>
      <c r="Z224" s="118"/>
      <c r="AA224" s="118"/>
      <c r="AB224" s="118"/>
      <c r="AC224" s="118"/>
      <c r="AD224" s="118"/>
    </row>
    <row r="225" spans="1:30">
      <c r="A225" s="184" t="s">
        <v>452</v>
      </c>
      <c r="B225" s="185"/>
      <c r="C225" s="184"/>
      <c r="D225" s="1181"/>
      <c r="E225" s="1181"/>
      <c r="F225" s="1617" t="str">
        <f t="shared" si="172"/>
        <v>-</v>
      </c>
      <c r="G225" s="186"/>
      <c r="H225" s="187"/>
      <c r="I225" s="187"/>
      <c r="J225" s="176">
        <f t="shared" si="174"/>
        <v>0</v>
      </c>
      <c r="K225" s="814"/>
      <c r="L225" s="184" t="s">
        <v>452</v>
      </c>
      <c r="M225" s="185"/>
      <c r="N225" s="184"/>
      <c r="O225" s="1181"/>
      <c r="P225" s="1181"/>
      <c r="Q225" s="1617" t="str">
        <f t="shared" si="173"/>
        <v>-</v>
      </c>
      <c r="R225" s="174"/>
      <c r="S225" s="187"/>
      <c r="T225" s="187"/>
      <c r="U225" s="176">
        <f t="shared" si="175"/>
        <v>0</v>
      </c>
      <c r="V225" s="156"/>
      <c r="W225" s="156"/>
      <c r="X225" s="118"/>
      <c r="Y225" s="118"/>
      <c r="Z225" s="118"/>
      <c r="AA225" s="118"/>
      <c r="AB225" s="118"/>
      <c r="AC225" s="118"/>
      <c r="AD225" s="118"/>
    </row>
    <row r="226" spans="1:30" ht="12.75" thickBot="1">
      <c r="A226" s="184" t="s">
        <v>453</v>
      </c>
      <c r="B226" s="185"/>
      <c r="C226" s="184"/>
      <c r="D226" s="1181"/>
      <c r="E226" s="1181"/>
      <c r="F226" s="1617" t="str">
        <f t="shared" si="172"/>
        <v>-</v>
      </c>
      <c r="G226" s="186"/>
      <c r="H226" s="187"/>
      <c r="I226" s="187"/>
      <c r="J226" s="176">
        <f t="shared" si="174"/>
        <v>0</v>
      </c>
      <c r="K226" s="814"/>
      <c r="L226" s="184" t="s">
        <v>453</v>
      </c>
      <c r="M226" s="185"/>
      <c r="N226" s="184"/>
      <c r="O226" s="1181"/>
      <c r="P226" s="1181"/>
      <c r="Q226" s="1617" t="str">
        <f t="shared" si="173"/>
        <v>-</v>
      </c>
      <c r="R226" s="186"/>
      <c r="S226" s="187"/>
      <c r="T226" s="187"/>
      <c r="U226" s="176">
        <f t="shared" si="175"/>
        <v>0</v>
      </c>
      <c r="V226" s="156"/>
      <c r="W226" s="156"/>
      <c r="X226" s="118"/>
      <c r="Y226" s="118"/>
      <c r="Z226" s="118"/>
      <c r="AA226" s="118"/>
      <c r="AB226" s="118"/>
      <c r="AC226" s="118"/>
      <c r="AD226" s="118"/>
    </row>
    <row r="227" spans="1:30" ht="12.75" thickBot="1">
      <c r="A227" s="155" t="s">
        <v>454</v>
      </c>
      <c r="B227" s="177">
        <f t="shared" ref="B227:J227" si="176">+B219+B220+B221+B222+B223+B224+B225+B226</f>
        <v>65524</v>
      </c>
      <c r="C227" s="155">
        <f t="shared" si="176"/>
        <v>482</v>
      </c>
      <c r="D227" s="1180">
        <f t="shared" ref="D227:E227" si="177">+D219+D220+D221+D222+D223+D224+D225+D226</f>
        <v>84282</v>
      </c>
      <c r="E227" s="1180">
        <f t="shared" si="177"/>
        <v>84282</v>
      </c>
      <c r="F227" s="1616">
        <f t="shared" si="172"/>
        <v>1</v>
      </c>
      <c r="G227" s="179">
        <f t="shared" si="176"/>
        <v>0</v>
      </c>
      <c r="H227" s="177">
        <f t="shared" si="176"/>
        <v>0</v>
      </c>
      <c r="I227" s="177">
        <f t="shared" si="176"/>
        <v>0</v>
      </c>
      <c r="J227" s="178">
        <f t="shared" si="176"/>
        <v>149806</v>
      </c>
      <c r="L227" s="155" t="s">
        <v>454</v>
      </c>
      <c r="M227" s="177">
        <f t="shared" ref="M227:U227" si="178">+M219+M220+M221+M222+M223+M224+M225+M226</f>
        <v>78058</v>
      </c>
      <c r="N227" s="155">
        <f t="shared" si="178"/>
        <v>68674</v>
      </c>
      <c r="O227" s="1180">
        <f t="shared" ref="O227:P227" si="179">+O219+O220+O221+O222+O223+O224+O225+O226</f>
        <v>44228</v>
      </c>
      <c r="P227" s="1180">
        <f t="shared" si="179"/>
        <v>44228</v>
      </c>
      <c r="Q227" s="1616">
        <f t="shared" si="173"/>
        <v>1</v>
      </c>
      <c r="R227" s="179">
        <f t="shared" si="178"/>
        <v>18933</v>
      </c>
      <c r="S227" s="177">
        <f t="shared" si="178"/>
        <v>0</v>
      </c>
      <c r="T227" s="177">
        <f t="shared" si="178"/>
        <v>0</v>
      </c>
      <c r="U227" s="178">
        <f t="shared" si="178"/>
        <v>141219</v>
      </c>
      <c r="V227" s="156"/>
      <c r="W227" s="156"/>
      <c r="Y227" s="814"/>
      <c r="AC227" s="814"/>
    </row>
    <row r="228" spans="1:30">
      <c r="A228" s="156"/>
      <c r="B228" s="156"/>
      <c r="C228" s="156"/>
      <c r="D228" s="156"/>
      <c r="E228" s="156"/>
      <c r="F228" s="156"/>
      <c r="G228" s="156"/>
      <c r="H228" s="156"/>
      <c r="I228" s="156"/>
      <c r="J228" s="156"/>
      <c r="K228" s="814"/>
      <c r="L228" s="156"/>
      <c r="M228" s="156"/>
      <c r="N228" s="156"/>
      <c r="O228" s="156"/>
      <c r="P228" s="156"/>
      <c r="Q228" s="156"/>
      <c r="R228" s="156"/>
      <c r="S228" s="156"/>
      <c r="T228" s="156"/>
      <c r="U228" s="156"/>
      <c r="V228" s="156"/>
      <c r="W228" s="156"/>
    </row>
    <row r="230" spans="1:30" s="807" customFormat="1" ht="15.75">
      <c r="A230" s="154" t="s">
        <v>1510</v>
      </c>
      <c r="B230" s="1767" t="s">
        <v>1526</v>
      </c>
      <c r="C230" s="1767"/>
      <c r="D230" s="1767"/>
      <c r="E230" s="1767"/>
      <c r="F230" s="1767"/>
      <c r="G230" s="1767"/>
      <c r="H230" s="1767"/>
      <c r="I230" s="1767"/>
      <c r="J230" s="1767"/>
      <c r="K230" s="719"/>
      <c r="L230" s="154" t="s">
        <v>1511</v>
      </c>
      <c r="M230" s="1767" t="s">
        <v>1497</v>
      </c>
      <c r="N230" s="1767"/>
      <c r="O230" s="1767"/>
      <c r="P230" s="1767"/>
      <c r="Q230" s="1767"/>
      <c r="R230" s="1767"/>
      <c r="S230" s="1767"/>
      <c r="T230" s="1767"/>
      <c r="U230" s="1767"/>
      <c r="V230" s="1767"/>
      <c r="W230" s="1767"/>
    </row>
    <row r="231" spans="1:30" s="807" customFormat="1" ht="15.75" customHeight="1">
      <c r="A231" s="1819" t="s">
        <v>1527</v>
      </c>
      <c r="B231" s="1819"/>
      <c r="C231" s="1819"/>
      <c r="D231" s="1819"/>
      <c r="E231" s="1819"/>
      <c r="F231" s="1819"/>
      <c r="G231" s="1819"/>
      <c r="H231" s="1819"/>
      <c r="I231" s="1819"/>
      <c r="J231" s="1819"/>
      <c r="K231" s="719"/>
      <c r="L231" s="1819" t="s">
        <v>1544</v>
      </c>
      <c r="M231" s="1819"/>
      <c r="N231" s="1819"/>
      <c r="O231" s="1819"/>
      <c r="P231" s="1819"/>
      <c r="Q231" s="1819"/>
      <c r="R231" s="1819"/>
      <c r="S231" s="1819"/>
      <c r="T231" s="1819"/>
      <c r="U231" s="1819"/>
      <c r="V231" s="1766"/>
      <c r="W231" s="1766"/>
    </row>
    <row r="232" spans="1:30" s="807" customFormat="1" ht="15.75">
      <c r="A232" s="1818" t="s">
        <v>1120</v>
      </c>
      <c r="B232" s="1818"/>
      <c r="C232" s="1818"/>
      <c r="D232" s="1818"/>
      <c r="E232" s="1818"/>
      <c r="F232" s="1818"/>
      <c r="G232" s="1818"/>
      <c r="H232" s="1818"/>
      <c r="I232" s="1818"/>
      <c r="J232" s="1818"/>
      <c r="K232" s="719"/>
      <c r="L232" s="1818" t="s">
        <v>1120</v>
      </c>
      <c r="M232" s="1818"/>
      <c r="N232" s="1818"/>
      <c r="O232" s="1818"/>
      <c r="P232" s="1818"/>
      <c r="Q232" s="1818"/>
      <c r="R232" s="1818"/>
      <c r="S232" s="1818"/>
      <c r="T232" s="1818"/>
      <c r="U232" s="1818"/>
      <c r="V232" s="1765"/>
      <c r="W232" s="1765"/>
    </row>
    <row r="233" spans="1:30" s="810" customFormat="1" ht="12.75" thickBot="1">
      <c r="A233" s="809"/>
      <c r="B233" s="809"/>
      <c r="G233" s="809"/>
      <c r="H233" s="809"/>
      <c r="J233" s="199" t="s">
        <v>281</v>
      </c>
      <c r="K233" s="811"/>
      <c r="L233" s="809"/>
      <c r="M233" s="809"/>
      <c r="N233" s="809"/>
      <c r="O233" s="809"/>
      <c r="P233" s="809"/>
      <c r="Q233" s="809"/>
      <c r="R233" s="809"/>
      <c r="S233" s="809"/>
      <c r="U233" s="199" t="s">
        <v>281</v>
      </c>
      <c r="V233" s="797"/>
      <c r="W233" s="797"/>
    </row>
    <row r="234" spans="1:30" s="813" customFormat="1" ht="36.75" thickBot="1">
      <c r="A234" s="353" t="s">
        <v>432</v>
      </c>
      <c r="B234" s="354" t="s">
        <v>1314</v>
      </c>
      <c r="C234" s="1612" t="s">
        <v>1553</v>
      </c>
      <c r="D234" s="881" t="s">
        <v>1554</v>
      </c>
      <c r="E234" s="881" t="s">
        <v>2646</v>
      </c>
      <c r="F234" s="1613" t="s">
        <v>2645</v>
      </c>
      <c r="G234" s="335" t="s">
        <v>461</v>
      </c>
      <c r="H234" s="336" t="s">
        <v>462</v>
      </c>
      <c r="I234" s="336" t="s">
        <v>1313</v>
      </c>
      <c r="J234" s="1769" t="s">
        <v>18</v>
      </c>
      <c r="K234" s="816"/>
      <c r="L234" s="353" t="s">
        <v>432</v>
      </c>
      <c r="M234" s="354" t="s">
        <v>1314</v>
      </c>
      <c r="N234" s="1612" t="s">
        <v>1553</v>
      </c>
      <c r="O234" s="881" t="s">
        <v>1554</v>
      </c>
      <c r="P234" s="881" t="s">
        <v>2646</v>
      </c>
      <c r="Q234" s="1613" t="s">
        <v>2645</v>
      </c>
      <c r="R234" s="335" t="s">
        <v>461</v>
      </c>
      <c r="S234" s="336" t="s">
        <v>462</v>
      </c>
      <c r="T234" s="336" t="s">
        <v>1313</v>
      </c>
      <c r="U234" s="1769" t="s">
        <v>18</v>
      </c>
      <c r="V234" s="798"/>
      <c r="W234" s="798"/>
    </row>
    <row r="235" spans="1:30">
      <c r="A235" s="162" t="s">
        <v>433</v>
      </c>
      <c r="B235" s="163">
        <f t="shared" ref="B235" si="180">+B252-B240-B239-B238-B237</f>
        <v>-68360</v>
      </c>
      <c r="C235" s="1174">
        <f t="shared" ref="C235:J235" si="181">+C252-C240-C239-C238-C237</f>
        <v>31954</v>
      </c>
      <c r="D235" s="1175">
        <f t="shared" ref="D235:E235" si="182">+D252-D240-D239-D238-D237</f>
        <v>14321</v>
      </c>
      <c r="E235" s="1175">
        <f t="shared" si="182"/>
        <v>14321</v>
      </c>
      <c r="F235" s="1614">
        <f t="shared" ref="F235:F241" si="183">IF(ISERROR(E235/D235),"-",E235/D235)</f>
        <v>1</v>
      </c>
      <c r="G235" s="164">
        <f t="shared" si="181"/>
        <v>54039</v>
      </c>
      <c r="H235" s="165">
        <f t="shared" si="181"/>
        <v>0</v>
      </c>
      <c r="I235" s="165">
        <f t="shared" si="181"/>
        <v>0</v>
      </c>
      <c r="J235" s="166">
        <f t="shared" si="181"/>
        <v>0</v>
      </c>
      <c r="K235" s="814"/>
      <c r="L235" s="162" t="s">
        <v>433</v>
      </c>
      <c r="M235" s="163">
        <f t="shared" ref="M235:U235" si="184">+M252-M240-M239-M238-M237</f>
        <v>-51920</v>
      </c>
      <c r="N235" s="1174">
        <f t="shared" si="184"/>
        <v>48785</v>
      </c>
      <c r="O235" s="1175">
        <f t="shared" ref="O235:P235" si="185">+O252-O240-O239-O238-O237</f>
        <v>-43233</v>
      </c>
      <c r="P235" s="1175">
        <f t="shared" si="185"/>
        <v>-43233</v>
      </c>
      <c r="Q235" s="1614">
        <f t="shared" ref="Q235:Q241" si="186">IF(ISERROR(P235/O235),"-",P235/O235)</f>
        <v>1</v>
      </c>
      <c r="R235" s="164">
        <f t="shared" si="184"/>
        <v>95153</v>
      </c>
      <c r="S235" s="165">
        <f t="shared" si="184"/>
        <v>0</v>
      </c>
      <c r="T235" s="165">
        <f t="shared" si="184"/>
        <v>0</v>
      </c>
      <c r="U235" s="166">
        <f t="shared" si="184"/>
        <v>0</v>
      </c>
      <c r="V235" s="156"/>
      <c r="W235" s="156"/>
    </row>
    <row r="236" spans="1:30">
      <c r="A236" s="167" t="s">
        <v>434</v>
      </c>
      <c r="B236" s="168"/>
      <c r="C236" s="1176"/>
      <c r="D236" s="1177"/>
      <c r="E236" s="1177"/>
      <c r="F236" s="1615" t="str">
        <f t="shared" si="183"/>
        <v>-</v>
      </c>
      <c r="G236" s="169"/>
      <c r="H236" s="170"/>
      <c r="I236" s="170"/>
      <c r="J236" s="171">
        <f>+B236+IF(D236&lt;=E236,E236,D236)+G236+H236+I236</f>
        <v>0</v>
      </c>
      <c r="K236" s="814"/>
      <c r="L236" s="167" t="s">
        <v>434</v>
      </c>
      <c r="M236" s="168"/>
      <c r="N236" s="1176"/>
      <c r="O236" s="1177"/>
      <c r="P236" s="1177"/>
      <c r="Q236" s="1615" t="str">
        <f t="shared" si="186"/>
        <v>-</v>
      </c>
      <c r="R236" s="169"/>
      <c r="S236" s="170"/>
      <c r="T236" s="170"/>
      <c r="U236" s="171">
        <f>+M236+IF(O236&lt;=P236,P236,O236)+R236+S236+T236</f>
        <v>0</v>
      </c>
      <c r="V236" s="799"/>
      <c r="W236" s="799"/>
      <c r="X236" s="118"/>
      <c r="AB236" s="118"/>
    </row>
    <row r="237" spans="1:30">
      <c r="A237" s="172" t="s">
        <v>435</v>
      </c>
      <c r="B237" s="173">
        <v>138388</v>
      </c>
      <c r="C237" s="182"/>
      <c r="D237" s="1178">
        <v>38713</v>
      </c>
      <c r="E237" s="1178">
        <v>38713</v>
      </c>
      <c r="F237" s="1615">
        <f t="shared" si="183"/>
        <v>1</v>
      </c>
      <c r="G237" s="174"/>
      <c r="H237" s="175"/>
      <c r="I237" s="175"/>
      <c r="J237" s="176">
        <f t="shared" ref="J237:J240" si="187">+B237+IF(D237&lt;=E237,E237,D237)+G237+H237+I237</f>
        <v>177101</v>
      </c>
      <c r="K237" s="814"/>
      <c r="L237" s="172" t="s">
        <v>435</v>
      </c>
      <c r="M237" s="173">
        <v>130650</v>
      </c>
      <c r="N237" s="182"/>
      <c r="O237" s="1178">
        <v>121408</v>
      </c>
      <c r="P237" s="1178">
        <v>121408</v>
      </c>
      <c r="Q237" s="1615">
        <f t="shared" si="186"/>
        <v>1</v>
      </c>
      <c r="R237" s="174"/>
      <c r="S237" s="175"/>
      <c r="T237" s="175"/>
      <c r="U237" s="176">
        <f t="shared" ref="U237:U240" si="188">+M237+IF(O237&lt;=P237,P237,O237)+R237+S237+T237</f>
        <v>252058</v>
      </c>
      <c r="V237" s="156"/>
      <c r="W237" s="156"/>
      <c r="X237" s="118"/>
      <c r="Y237" s="118"/>
      <c r="Z237" s="118"/>
      <c r="AA237" s="118"/>
      <c r="AB237" s="118"/>
      <c r="AC237" s="118"/>
      <c r="AD237" s="118"/>
    </row>
    <row r="238" spans="1:30">
      <c r="A238" s="172" t="s">
        <v>436</v>
      </c>
      <c r="B238" s="173"/>
      <c r="C238" s="182"/>
      <c r="D238" s="1178"/>
      <c r="E238" s="1178"/>
      <c r="F238" s="1615" t="str">
        <f t="shared" si="183"/>
        <v>-</v>
      </c>
      <c r="G238" s="174"/>
      <c r="H238" s="175"/>
      <c r="I238" s="175"/>
      <c r="J238" s="176">
        <f t="shared" si="187"/>
        <v>0</v>
      </c>
      <c r="K238" s="814"/>
      <c r="L238" s="172" t="s">
        <v>436</v>
      </c>
      <c r="M238" s="173"/>
      <c r="N238" s="182"/>
      <c r="O238" s="1178"/>
      <c r="P238" s="1178"/>
      <c r="Q238" s="1615" t="str">
        <f t="shared" si="186"/>
        <v>-</v>
      </c>
      <c r="R238" s="174"/>
      <c r="S238" s="175"/>
      <c r="T238" s="175"/>
      <c r="U238" s="176">
        <f t="shared" si="188"/>
        <v>0</v>
      </c>
      <c r="V238" s="156"/>
      <c r="W238" s="156"/>
      <c r="X238" s="118"/>
      <c r="AB238" s="118"/>
    </row>
    <row r="239" spans="1:30">
      <c r="A239" s="172" t="s">
        <v>437</v>
      </c>
      <c r="B239" s="173"/>
      <c r="C239" s="182"/>
      <c r="D239" s="1178"/>
      <c r="E239" s="1178"/>
      <c r="F239" s="1615" t="str">
        <f t="shared" si="183"/>
        <v>-</v>
      </c>
      <c r="G239" s="174"/>
      <c r="H239" s="175"/>
      <c r="I239" s="175"/>
      <c r="J239" s="176">
        <f t="shared" si="187"/>
        <v>0</v>
      </c>
      <c r="K239" s="814"/>
      <c r="L239" s="172" t="s">
        <v>437</v>
      </c>
      <c r="M239" s="173"/>
      <c r="N239" s="182"/>
      <c r="O239" s="1178"/>
      <c r="P239" s="1178"/>
      <c r="Q239" s="1615" t="str">
        <f t="shared" si="186"/>
        <v>-</v>
      </c>
      <c r="R239" s="174"/>
      <c r="S239" s="175"/>
      <c r="T239" s="175"/>
      <c r="U239" s="176">
        <f t="shared" si="188"/>
        <v>0</v>
      </c>
      <c r="V239" s="156"/>
      <c r="W239" s="156"/>
      <c r="X239" s="118"/>
      <c r="AB239" s="118"/>
    </row>
    <row r="240" spans="1:30" ht="12.75" thickBot="1">
      <c r="A240" s="172" t="s">
        <v>438</v>
      </c>
      <c r="B240" s="173"/>
      <c r="C240" s="182"/>
      <c r="D240" s="1178"/>
      <c r="E240" s="1178"/>
      <c r="F240" s="1615" t="str">
        <f t="shared" si="183"/>
        <v>-</v>
      </c>
      <c r="G240" s="174"/>
      <c r="H240" s="175"/>
      <c r="I240" s="175"/>
      <c r="J240" s="176">
        <f t="shared" si="187"/>
        <v>0</v>
      </c>
      <c r="K240" s="814"/>
      <c r="L240" s="172" t="s">
        <v>438</v>
      </c>
      <c r="M240" s="173"/>
      <c r="N240" s="182"/>
      <c r="O240" s="1178"/>
      <c r="P240" s="1178"/>
      <c r="Q240" s="1615" t="str">
        <f t="shared" si="186"/>
        <v>-</v>
      </c>
      <c r="R240" s="174"/>
      <c r="S240" s="175"/>
      <c r="T240" s="175"/>
      <c r="U240" s="176">
        <f t="shared" si="188"/>
        <v>0</v>
      </c>
      <c r="V240" s="156"/>
      <c r="W240" s="156"/>
      <c r="X240" s="118"/>
      <c r="AB240" s="118"/>
    </row>
    <row r="241" spans="1:30" ht="12.75" thickBot="1">
      <c r="A241" s="155" t="s">
        <v>439</v>
      </c>
      <c r="B241" s="177">
        <f t="shared" ref="B241" si="189">+B235+B237+B238+B239+B240</f>
        <v>70028</v>
      </c>
      <c r="C241" s="155">
        <f t="shared" ref="C241:J241" si="190">+C235+C237+C238+C239+C240</f>
        <v>31954</v>
      </c>
      <c r="D241" s="1180">
        <f t="shared" ref="D241:E241" si="191">+D235+D237+D238+D239+D240</f>
        <v>53034</v>
      </c>
      <c r="E241" s="1180">
        <f t="shared" si="191"/>
        <v>53034</v>
      </c>
      <c r="F241" s="1616">
        <f t="shared" si="183"/>
        <v>1</v>
      </c>
      <c r="G241" s="179">
        <f t="shared" si="190"/>
        <v>54039</v>
      </c>
      <c r="H241" s="177">
        <f t="shared" si="190"/>
        <v>0</v>
      </c>
      <c r="I241" s="177">
        <f t="shared" si="190"/>
        <v>0</v>
      </c>
      <c r="J241" s="178">
        <f t="shared" si="190"/>
        <v>177101</v>
      </c>
      <c r="K241" s="814"/>
      <c r="L241" s="155" t="s">
        <v>439</v>
      </c>
      <c r="M241" s="177">
        <f t="shared" ref="M241:U241" si="192">+M235+M237+M238+M239+M240</f>
        <v>78730</v>
      </c>
      <c r="N241" s="155">
        <f t="shared" si="192"/>
        <v>48785</v>
      </c>
      <c r="O241" s="1180">
        <f t="shared" ref="O241:P241" si="193">+O235+O237+O238+O239+O240</f>
        <v>78175</v>
      </c>
      <c r="P241" s="1180">
        <f t="shared" si="193"/>
        <v>78175</v>
      </c>
      <c r="Q241" s="1616">
        <f t="shared" si="186"/>
        <v>1</v>
      </c>
      <c r="R241" s="179">
        <f t="shared" si="192"/>
        <v>95153</v>
      </c>
      <c r="S241" s="177">
        <f t="shared" si="192"/>
        <v>0</v>
      </c>
      <c r="T241" s="177">
        <f t="shared" si="192"/>
        <v>0</v>
      </c>
      <c r="U241" s="178">
        <f t="shared" si="192"/>
        <v>252058</v>
      </c>
      <c r="V241" s="156"/>
      <c r="W241" s="156"/>
    </row>
    <row r="242" spans="1:30" ht="12.75" thickBot="1">
      <c r="A242" s="180"/>
      <c r="B242" s="180"/>
      <c r="C242" s="180"/>
      <c r="D242" s="180"/>
      <c r="E242" s="180"/>
      <c r="F242" s="180"/>
      <c r="G242" s="180"/>
      <c r="H242" s="180"/>
      <c r="I242" s="180"/>
      <c r="J242" s="180"/>
      <c r="K242" s="814"/>
      <c r="L242" s="180"/>
      <c r="M242" s="180"/>
      <c r="N242" s="180"/>
      <c r="O242" s="180"/>
      <c r="P242" s="180"/>
      <c r="Q242" s="180"/>
      <c r="R242" s="180"/>
      <c r="S242" s="180"/>
      <c r="T242" s="180"/>
      <c r="U242" s="180"/>
      <c r="V242" s="180"/>
      <c r="W242" s="180"/>
    </row>
    <row r="243" spans="1:30" s="813" customFormat="1" ht="36.75" thickBot="1">
      <c r="A243" s="353" t="s">
        <v>440</v>
      </c>
      <c r="B243" s="354" t="s">
        <v>1314</v>
      </c>
      <c r="C243" s="1612" t="s">
        <v>1553</v>
      </c>
      <c r="D243" s="881" t="s">
        <v>1554</v>
      </c>
      <c r="E243" s="881" t="s">
        <v>2646</v>
      </c>
      <c r="F243" s="1613" t="s">
        <v>2645</v>
      </c>
      <c r="G243" s="335" t="s">
        <v>461</v>
      </c>
      <c r="H243" s="336" t="s">
        <v>462</v>
      </c>
      <c r="I243" s="336" t="s">
        <v>1313</v>
      </c>
      <c r="J243" s="1769" t="s">
        <v>18</v>
      </c>
      <c r="K243" s="816"/>
      <c r="L243" s="353" t="s">
        <v>440</v>
      </c>
      <c r="M243" s="354" t="s">
        <v>1314</v>
      </c>
      <c r="N243" s="1612" t="s">
        <v>1553</v>
      </c>
      <c r="O243" s="881" t="s">
        <v>1554</v>
      </c>
      <c r="P243" s="881" t="s">
        <v>2646</v>
      </c>
      <c r="Q243" s="1613" t="s">
        <v>2645</v>
      </c>
      <c r="R243" s="335" t="s">
        <v>461</v>
      </c>
      <c r="S243" s="336" t="s">
        <v>462</v>
      </c>
      <c r="T243" s="336" t="s">
        <v>1313</v>
      </c>
      <c r="U243" s="1769" t="s">
        <v>18</v>
      </c>
      <c r="V243" s="798"/>
      <c r="W243" s="798"/>
    </row>
    <row r="244" spans="1:30">
      <c r="A244" s="162" t="s">
        <v>446</v>
      </c>
      <c r="B244" s="163">
        <v>13700</v>
      </c>
      <c r="C244" s="1174"/>
      <c r="D244" s="1175">
        <v>22038</v>
      </c>
      <c r="E244" s="1175">
        <v>22038</v>
      </c>
      <c r="F244" s="1614">
        <f t="shared" ref="F244:F252" si="194">IF(ISERROR(E244/D244),"-",E244/D244)</f>
        <v>1</v>
      </c>
      <c r="G244" s="164"/>
      <c r="H244" s="165"/>
      <c r="I244" s="165"/>
      <c r="J244" s="166">
        <f>+B244+IF(D244&lt;=E244,E244,D244)+G244+H244+I244</f>
        <v>35738</v>
      </c>
      <c r="K244" s="814"/>
      <c r="L244" s="162" t="s">
        <v>446</v>
      </c>
      <c r="M244" s="163">
        <v>27902</v>
      </c>
      <c r="N244" s="1174"/>
      <c r="O244" s="1175">
        <v>47004</v>
      </c>
      <c r="P244" s="1175">
        <v>47004</v>
      </c>
      <c r="Q244" s="1614">
        <f t="shared" ref="Q244:Q252" si="195">IF(ISERROR(P244/O244),"-",P244/O244)</f>
        <v>1</v>
      </c>
      <c r="R244" s="164"/>
      <c r="S244" s="165"/>
      <c r="T244" s="165"/>
      <c r="U244" s="166">
        <f>+M244+IF(O244&lt;=P244,P244,O244)+R244+S244+T244</f>
        <v>74906</v>
      </c>
      <c r="V244" s="156"/>
      <c r="W244" s="156"/>
      <c r="X244" s="118"/>
      <c r="Y244" s="118"/>
      <c r="Z244" s="118"/>
      <c r="AA244" s="118"/>
      <c r="AB244" s="118"/>
      <c r="AC244" s="118"/>
      <c r="AD244" s="118"/>
    </row>
    <row r="245" spans="1:30">
      <c r="A245" s="181" t="s">
        <v>447</v>
      </c>
      <c r="B245" s="173">
        <v>2161</v>
      </c>
      <c r="C245" s="182"/>
      <c r="D245" s="1178">
        <v>4002</v>
      </c>
      <c r="E245" s="1178">
        <v>4002</v>
      </c>
      <c r="F245" s="1615">
        <f t="shared" si="194"/>
        <v>1</v>
      </c>
      <c r="G245" s="174"/>
      <c r="H245" s="175"/>
      <c r="I245" s="175"/>
      <c r="J245" s="176">
        <f t="shared" ref="J245:J251" si="196">+B245+IF(D245&lt;=E245,E245,D245)+G245+H245+I245</f>
        <v>6163</v>
      </c>
      <c r="K245" s="814"/>
      <c r="L245" s="181" t="s">
        <v>447</v>
      </c>
      <c r="M245" s="173">
        <v>4673</v>
      </c>
      <c r="N245" s="182"/>
      <c r="O245" s="1178">
        <v>7967</v>
      </c>
      <c r="P245" s="1178">
        <v>7967</v>
      </c>
      <c r="Q245" s="1615">
        <f t="shared" si="195"/>
        <v>1</v>
      </c>
      <c r="R245" s="174"/>
      <c r="S245" s="175"/>
      <c r="T245" s="175"/>
      <c r="U245" s="176">
        <f t="shared" ref="U245:U251" si="197">+M245+IF(O245&lt;=P245,P245,O245)+R245+S245+T245</f>
        <v>12640</v>
      </c>
      <c r="V245" s="156"/>
      <c r="W245" s="156"/>
      <c r="X245" s="118"/>
      <c r="Y245" s="118"/>
      <c r="Z245" s="118"/>
      <c r="AA245" s="118"/>
      <c r="AB245" s="118"/>
      <c r="AC245" s="118"/>
      <c r="AD245" s="118"/>
    </row>
    <row r="246" spans="1:30">
      <c r="A246" s="172" t="s">
        <v>448</v>
      </c>
      <c r="B246" s="173">
        <v>51763</v>
      </c>
      <c r="C246" s="182"/>
      <c r="D246" s="1178">
        <v>24746</v>
      </c>
      <c r="E246" s="1178">
        <f>24749-3</f>
        <v>24746</v>
      </c>
      <c r="F246" s="1615">
        <f t="shared" si="194"/>
        <v>1</v>
      </c>
      <c r="G246" s="174"/>
      <c r="H246" s="175"/>
      <c r="I246" s="175"/>
      <c r="J246" s="176">
        <f t="shared" si="196"/>
        <v>76509</v>
      </c>
      <c r="K246" s="814"/>
      <c r="L246" s="172" t="s">
        <v>448</v>
      </c>
      <c r="M246" s="173">
        <v>41969</v>
      </c>
      <c r="N246" s="182"/>
      <c r="O246" s="1178">
        <v>23204</v>
      </c>
      <c r="P246" s="1178">
        <v>23204</v>
      </c>
      <c r="Q246" s="1615">
        <f t="shared" si="195"/>
        <v>1</v>
      </c>
      <c r="R246" s="174"/>
      <c r="S246" s="175"/>
      <c r="T246" s="175"/>
      <c r="U246" s="176">
        <f t="shared" si="197"/>
        <v>65173</v>
      </c>
      <c r="V246" s="156"/>
      <c r="W246" s="156"/>
      <c r="X246" s="118"/>
      <c r="Y246" s="118"/>
      <c r="Z246" s="118"/>
      <c r="AA246" s="118"/>
      <c r="AB246" s="118"/>
      <c r="AC246" s="118"/>
      <c r="AD246" s="118"/>
    </row>
    <row r="247" spans="1:30">
      <c r="A247" s="172" t="s">
        <v>449</v>
      </c>
      <c r="B247" s="173"/>
      <c r="C247" s="182"/>
      <c r="D247" s="1178"/>
      <c r="E247" s="1178"/>
      <c r="F247" s="1615" t="str">
        <f t="shared" si="194"/>
        <v>-</v>
      </c>
      <c r="G247" s="174"/>
      <c r="H247" s="175"/>
      <c r="I247" s="175"/>
      <c r="J247" s="176">
        <f t="shared" si="196"/>
        <v>0</v>
      </c>
      <c r="K247" s="814"/>
      <c r="L247" s="172" t="s">
        <v>449</v>
      </c>
      <c r="M247" s="173"/>
      <c r="N247" s="182"/>
      <c r="O247" s="1178"/>
      <c r="P247" s="1178"/>
      <c r="Q247" s="1615" t="str">
        <f t="shared" si="195"/>
        <v>-</v>
      </c>
      <c r="R247" s="174"/>
      <c r="S247" s="175"/>
      <c r="T247" s="175"/>
      <c r="U247" s="176">
        <f t="shared" si="197"/>
        <v>0</v>
      </c>
      <c r="V247" s="156"/>
      <c r="W247" s="156"/>
      <c r="X247" s="118"/>
      <c r="Z247" s="118"/>
      <c r="AA247" s="118"/>
      <c r="AB247" s="118"/>
      <c r="AD247" s="118"/>
    </row>
    <row r="248" spans="1:30">
      <c r="A248" s="182" t="s">
        <v>450</v>
      </c>
      <c r="B248" s="183">
        <v>120</v>
      </c>
      <c r="C248" s="182">
        <f>31943+11</f>
        <v>31954</v>
      </c>
      <c r="D248" s="1178">
        <v>600</v>
      </c>
      <c r="E248" s="1178">
        <v>600</v>
      </c>
      <c r="F248" s="1615">
        <f t="shared" si="194"/>
        <v>1</v>
      </c>
      <c r="G248" s="174">
        <v>54039</v>
      </c>
      <c r="H248" s="175"/>
      <c r="I248" s="175"/>
      <c r="J248" s="176">
        <f t="shared" si="196"/>
        <v>54759</v>
      </c>
      <c r="K248" s="814"/>
      <c r="L248" s="182" t="s">
        <v>450</v>
      </c>
      <c r="M248" s="183">
        <v>4186</v>
      </c>
      <c r="N248" s="182">
        <v>48785</v>
      </c>
      <c r="O248" s="1178">
        <v>0</v>
      </c>
      <c r="P248" s="1178"/>
      <c r="Q248" s="1615" t="str">
        <f t="shared" si="195"/>
        <v>-</v>
      </c>
      <c r="R248" s="174">
        <v>95153</v>
      </c>
      <c r="S248" s="175"/>
      <c r="T248" s="175"/>
      <c r="U248" s="176">
        <f t="shared" si="197"/>
        <v>99339</v>
      </c>
      <c r="V248" s="156"/>
      <c r="W248" s="156"/>
      <c r="X248" s="118"/>
      <c r="Y248" s="118"/>
      <c r="Z248" s="118"/>
      <c r="AA248" s="118"/>
      <c r="AB248" s="118"/>
      <c r="AC248" s="118"/>
      <c r="AD248" s="118"/>
    </row>
    <row r="249" spans="1:30">
      <c r="A249" s="182" t="s">
        <v>451</v>
      </c>
      <c r="B249" s="183">
        <v>2284</v>
      </c>
      <c r="C249" s="182"/>
      <c r="D249" s="1178">
        <v>1140</v>
      </c>
      <c r="E249" s="1178">
        <v>1140</v>
      </c>
      <c r="F249" s="1615">
        <f t="shared" si="194"/>
        <v>1</v>
      </c>
      <c r="G249" s="174"/>
      <c r="H249" s="175"/>
      <c r="I249" s="175"/>
      <c r="J249" s="176">
        <f t="shared" si="196"/>
        <v>3424</v>
      </c>
      <c r="K249" s="814"/>
      <c r="L249" s="182" t="s">
        <v>451</v>
      </c>
      <c r="M249" s="183"/>
      <c r="N249" s="182"/>
      <c r="O249" s="1178"/>
      <c r="P249" s="1178"/>
      <c r="Q249" s="1615" t="str">
        <f t="shared" si="195"/>
        <v>-</v>
      </c>
      <c r="R249" s="174"/>
      <c r="S249" s="175"/>
      <c r="T249" s="175"/>
      <c r="U249" s="176">
        <f t="shared" si="197"/>
        <v>0</v>
      </c>
      <c r="V249" s="156"/>
      <c r="W249" s="156"/>
      <c r="X249" s="118"/>
      <c r="Y249" s="118"/>
      <c r="Z249" s="118"/>
      <c r="AA249" s="118"/>
      <c r="AB249" s="118"/>
      <c r="AC249" s="118"/>
      <c r="AD249" s="118"/>
    </row>
    <row r="250" spans="1:30">
      <c r="A250" s="184" t="s">
        <v>452</v>
      </c>
      <c r="B250" s="185"/>
      <c r="C250" s="184"/>
      <c r="D250" s="1181">
        <v>508</v>
      </c>
      <c r="E250" s="1181">
        <v>508</v>
      </c>
      <c r="F250" s="1617">
        <f t="shared" si="194"/>
        <v>1</v>
      </c>
      <c r="G250" s="186"/>
      <c r="H250" s="187"/>
      <c r="I250" s="187"/>
      <c r="J250" s="176">
        <f t="shared" si="196"/>
        <v>508</v>
      </c>
      <c r="K250" s="814"/>
      <c r="L250" s="184" t="s">
        <v>452</v>
      </c>
      <c r="M250" s="185"/>
      <c r="N250" s="184"/>
      <c r="O250" s="1181"/>
      <c r="P250" s="1181"/>
      <c r="Q250" s="1617" t="str">
        <f t="shared" si="195"/>
        <v>-</v>
      </c>
      <c r="R250" s="174"/>
      <c r="S250" s="187"/>
      <c r="T250" s="187"/>
      <c r="U250" s="176">
        <f t="shared" si="197"/>
        <v>0</v>
      </c>
      <c r="V250" s="156"/>
      <c r="W250" s="156"/>
      <c r="X250" s="118"/>
      <c r="Y250" s="118"/>
      <c r="Z250" s="118"/>
      <c r="AA250" s="118"/>
      <c r="AB250" s="118"/>
      <c r="AC250" s="118"/>
      <c r="AD250" s="118"/>
    </row>
    <row r="251" spans="1:30" ht="12.75" thickBot="1">
      <c r="A251" s="184" t="s">
        <v>453</v>
      </c>
      <c r="B251" s="185"/>
      <c r="C251" s="184"/>
      <c r="D251" s="1181"/>
      <c r="E251" s="1181"/>
      <c r="F251" s="1617" t="str">
        <f t="shared" si="194"/>
        <v>-</v>
      </c>
      <c r="G251" s="186"/>
      <c r="H251" s="187"/>
      <c r="I251" s="187"/>
      <c r="J251" s="176">
        <f t="shared" si="196"/>
        <v>0</v>
      </c>
      <c r="K251" s="814"/>
      <c r="L251" s="184" t="s">
        <v>453</v>
      </c>
      <c r="M251" s="185"/>
      <c r="N251" s="184"/>
      <c r="O251" s="1181"/>
      <c r="P251" s="1181"/>
      <c r="Q251" s="1617" t="str">
        <f t="shared" si="195"/>
        <v>-</v>
      </c>
      <c r="R251" s="186"/>
      <c r="S251" s="187"/>
      <c r="T251" s="187"/>
      <c r="U251" s="176">
        <f t="shared" si="197"/>
        <v>0</v>
      </c>
      <c r="V251" s="156"/>
      <c r="W251" s="156"/>
      <c r="X251" s="118"/>
      <c r="Y251" s="118"/>
      <c r="Z251" s="118"/>
      <c r="AA251" s="118"/>
      <c r="AB251" s="118"/>
      <c r="AC251" s="118"/>
      <c r="AD251" s="118"/>
    </row>
    <row r="252" spans="1:30" ht="12.75" thickBot="1">
      <c r="A252" s="155" t="s">
        <v>454</v>
      </c>
      <c r="B252" s="177">
        <f t="shared" ref="B252" si="198">+B244+B245+B246+B247+B248+B249+B250+B251</f>
        <v>70028</v>
      </c>
      <c r="C252" s="155">
        <f t="shared" ref="C252:J252" si="199">+C244+C245+C246+C247+C248+C249+C250+C251</f>
        <v>31954</v>
      </c>
      <c r="D252" s="1180">
        <f t="shared" ref="D252:E252" si="200">+D244+D245+D246+D247+D248+D249+D250+D251</f>
        <v>53034</v>
      </c>
      <c r="E252" s="1180">
        <f t="shared" si="200"/>
        <v>53034</v>
      </c>
      <c r="F252" s="1616">
        <f t="shared" si="194"/>
        <v>1</v>
      </c>
      <c r="G252" s="179">
        <f t="shared" si="199"/>
        <v>54039</v>
      </c>
      <c r="H252" s="177">
        <f t="shared" si="199"/>
        <v>0</v>
      </c>
      <c r="I252" s="177">
        <f t="shared" si="199"/>
        <v>0</v>
      </c>
      <c r="J252" s="178">
        <f t="shared" si="199"/>
        <v>177101</v>
      </c>
      <c r="L252" s="155" t="s">
        <v>454</v>
      </c>
      <c r="M252" s="177">
        <f t="shared" ref="M252:U252" si="201">+M244+M245+M246+M247+M248+M249+M250+M251</f>
        <v>78730</v>
      </c>
      <c r="N252" s="155">
        <f t="shared" si="201"/>
        <v>48785</v>
      </c>
      <c r="O252" s="1180">
        <f t="shared" ref="O252:P252" si="202">+O244+O245+O246+O247+O248+O249+O250+O251</f>
        <v>78175</v>
      </c>
      <c r="P252" s="1180">
        <f t="shared" si="202"/>
        <v>78175</v>
      </c>
      <c r="Q252" s="1616">
        <f t="shared" si="195"/>
        <v>1</v>
      </c>
      <c r="R252" s="179">
        <f t="shared" si="201"/>
        <v>95153</v>
      </c>
      <c r="S252" s="177">
        <f t="shared" si="201"/>
        <v>0</v>
      </c>
      <c r="T252" s="177">
        <f t="shared" si="201"/>
        <v>0</v>
      </c>
      <c r="U252" s="178">
        <f t="shared" si="201"/>
        <v>252058</v>
      </c>
      <c r="V252" s="156"/>
      <c r="W252" s="156"/>
      <c r="Y252" s="814"/>
      <c r="AC252" s="814"/>
    </row>
    <row r="253" spans="1:30">
      <c r="A253" s="156"/>
      <c r="B253" s="156"/>
      <c r="C253" s="156"/>
      <c r="D253" s="156"/>
      <c r="E253" s="156"/>
      <c r="F253" s="156"/>
      <c r="G253" s="156"/>
      <c r="H253" s="156"/>
      <c r="I253" s="156"/>
      <c r="J253" s="156"/>
      <c r="K253" s="814"/>
      <c r="L253" s="156"/>
      <c r="M253" s="156"/>
      <c r="N253" s="156"/>
      <c r="O253" s="156"/>
      <c r="P253" s="156"/>
      <c r="Q253" s="156"/>
      <c r="R253" s="156"/>
      <c r="S253" s="156"/>
      <c r="T253" s="156"/>
      <c r="U253" s="156"/>
      <c r="V253" s="156"/>
      <c r="W253" s="156"/>
    </row>
    <row r="255" spans="1:30" s="807" customFormat="1" ht="15.75">
      <c r="A255" s="154" t="s">
        <v>1512</v>
      </c>
      <c r="B255" s="1767" t="s">
        <v>1528</v>
      </c>
      <c r="C255" s="1767"/>
      <c r="D255" s="1767"/>
      <c r="E255" s="1767"/>
      <c r="F255" s="1767"/>
      <c r="G255" s="1767"/>
      <c r="H255" s="1767"/>
      <c r="I255" s="1767"/>
      <c r="J255" s="1767"/>
      <c r="K255" s="719"/>
      <c r="L255" s="154" t="s">
        <v>1513</v>
      </c>
      <c r="M255" s="1767" t="s">
        <v>1530</v>
      </c>
      <c r="N255" s="1767"/>
      <c r="O255" s="1767"/>
      <c r="P255" s="1767"/>
      <c r="Q255" s="1767"/>
      <c r="R255" s="1767"/>
      <c r="S255" s="1767"/>
      <c r="T255" s="1767"/>
      <c r="U255" s="1767"/>
      <c r="V255" s="1767"/>
      <c r="W255" s="1767"/>
    </row>
    <row r="256" spans="1:30" s="807" customFormat="1" ht="15.75" customHeight="1">
      <c r="A256" s="1819" t="s">
        <v>1529</v>
      </c>
      <c r="B256" s="1819"/>
      <c r="C256" s="1819"/>
      <c r="D256" s="1819"/>
      <c r="E256" s="1819"/>
      <c r="F256" s="1819"/>
      <c r="G256" s="1819"/>
      <c r="H256" s="1819"/>
      <c r="I256" s="1819"/>
      <c r="J256" s="1819"/>
      <c r="K256" s="719"/>
      <c r="L256" s="1819" t="s">
        <v>1531</v>
      </c>
      <c r="M256" s="1819"/>
      <c r="N256" s="1819"/>
      <c r="O256" s="1819"/>
      <c r="P256" s="1819"/>
      <c r="Q256" s="1819"/>
      <c r="R256" s="1819"/>
      <c r="S256" s="1819"/>
      <c r="T256" s="1819"/>
      <c r="U256" s="1819"/>
      <c r="V256" s="1766"/>
      <c r="W256" s="1766"/>
    </row>
    <row r="257" spans="1:30" s="807" customFormat="1" ht="15.75">
      <c r="A257" s="1818" t="s">
        <v>1120</v>
      </c>
      <c r="B257" s="1818"/>
      <c r="C257" s="1818"/>
      <c r="D257" s="1818"/>
      <c r="E257" s="1818"/>
      <c r="F257" s="1818"/>
      <c r="G257" s="1818"/>
      <c r="H257" s="1818"/>
      <c r="I257" s="1818"/>
      <c r="J257" s="1818"/>
      <c r="K257" s="719"/>
      <c r="L257" s="1818" t="s">
        <v>1120</v>
      </c>
      <c r="M257" s="1818"/>
      <c r="N257" s="1818"/>
      <c r="O257" s="1818"/>
      <c r="P257" s="1818"/>
      <c r="Q257" s="1818"/>
      <c r="R257" s="1818"/>
      <c r="S257" s="1818"/>
      <c r="T257" s="1818"/>
      <c r="U257" s="1818"/>
      <c r="V257" s="1765"/>
      <c r="W257" s="1765"/>
    </row>
    <row r="258" spans="1:30" s="810" customFormat="1" ht="12.75" thickBot="1">
      <c r="A258" s="809"/>
      <c r="B258" s="809"/>
      <c r="G258" s="809"/>
      <c r="H258" s="809"/>
      <c r="J258" s="199" t="s">
        <v>281</v>
      </c>
      <c r="K258" s="811"/>
      <c r="L258" s="809"/>
      <c r="M258" s="809"/>
      <c r="N258" s="809"/>
      <c r="O258" s="809"/>
      <c r="P258" s="809"/>
      <c r="Q258" s="809"/>
      <c r="R258" s="809"/>
      <c r="S258" s="809"/>
      <c r="U258" s="199" t="s">
        <v>281</v>
      </c>
      <c r="V258" s="797"/>
      <c r="W258" s="797"/>
    </row>
    <row r="259" spans="1:30" s="813" customFormat="1" ht="36.75" thickBot="1">
      <c r="A259" s="353" t="s">
        <v>432</v>
      </c>
      <c r="B259" s="354" t="s">
        <v>1314</v>
      </c>
      <c r="C259" s="1612" t="s">
        <v>1553</v>
      </c>
      <c r="D259" s="881" t="s">
        <v>1554</v>
      </c>
      <c r="E259" s="881" t="s">
        <v>2646</v>
      </c>
      <c r="F259" s="1613" t="s">
        <v>2645</v>
      </c>
      <c r="G259" s="335" t="s">
        <v>461</v>
      </c>
      <c r="H259" s="336" t="s">
        <v>462</v>
      </c>
      <c r="I259" s="336" t="s">
        <v>1313</v>
      </c>
      <c r="J259" s="1769" t="s">
        <v>18</v>
      </c>
      <c r="K259" s="816"/>
      <c r="L259" s="353" t="s">
        <v>432</v>
      </c>
      <c r="M259" s="354" t="s">
        <v>1314</v>
      </c>
      <c r="N259" s="1612" t="s">
        <v>1553</v>
      </c>
      <c r="O259" s="881" t="s">
        <v>1554</v>
      </c>
      <c r="P259" s="881" t="s">
        <v>2646</v>
      </c>
      <c r="Q259" s="1613" t="s">
        <v>2645</v>
      </c>
      <c r="R259" s="335" t="s">
        <v>461</v>
      </c>
      <c r="S259" s="336" t="s">
        <v>462</v>
      </c>
      <c r="T259" s="336" t="s">
        <v>1313</v>
      </c>
      <c r="U259" s="1769" t="s">
        <v>18</v>
      </c>
      <c r="V259" s="798"/>
      <c r="W259" s="798"/>
    </row>
    <row r="260" spans="1:30">
      <c r="A260" s="162" t="s">
        <v>433</v>
      </c>
      <c r="B260" s="163">
        <f t="shared" ref="B260:J260" si="203">+B277-B265-B264-B263-B262</f>
        <v>0</v>
      </c>
      <c r="C260" s="1174">
        <f t="shared" si="203"/>
        <v>0</v>
      </c>
      <c r="D260" s="1175">
        <f t="shared" ref="D260:E260" si="204">+D277-D265-D264-D263-D262</f>
        <v>-205375</v>
      </c>
      <c r="E260" s="1175">
        <f t="shared" si="204"/>
        <v>-205375</v>
      </c>
      <c r="F260" s="1614">
        <f t="shared" ref="F260:F266" si="205">IF(ISERROR(E260/D260),"-",E260/D260)</f>
        <v>1</v>
      </c>
      <c r="G260" s="164">
        <f t="shared" si="203"/>
        <v>205375</v>
      </c>
      <c r="H260" s="165">
        <f t="shared" si="203"/>
        <v>0</v>
      </c>
      <c r="I260" s="165">
        <f t="shared" si="203"/>
        <v>0</v>
      </c>
      <c r="J260" s="166">
        <f t="shared" si="203"/>
        <v>0</v>
      </c>
      <c r="K260" s="814"/>
      <c r="L260" s="162" t="s">
        <v>433</v>
      </c>
      <c r="M260" s="163">
        <f t="shared" ref="M260:U260" si="206">+M277-M265-M264-M263-M262</f>
        <v>-84548</v>
      </c>
      <c r="N260" s="1174">
        <f t="shared" si="206"/>
        <v>84548</v>
      </c>
      <c r="O260" s="1175">
        <f t="shared" ref="O260:P260" si="207">+O277-O265-O264-O263-O262</f>
        <v>3338</v>
      </c>
      <c r="P260" s="1175">
        <f t="shared" si="207"/>
        <v>3338</v>
      </c>
      <c r="Q260" s="1614">
        <f t="shared" ref="Q260:Q266" si="208">IF(ISERROR(P260/O260),"-",P260/O260)</f>
        <v>1</v>
      </c>
      <c r="R260" s="164">
        <f t="shared" si="206"/>
        <v>81210</v>
      </c>
      <c r="S260" s="165">
        <f t="shared" si="206"/>
        <v>0</v>
      </c>
      <c r="T260" s="165">
        <f t="shared" si="206"/>
        <v>0</v>
      </c>
      <c r="U260" s="166">
        <f t="shared" si="206"/>
        <v>0</v>
      </c>
      <c r="V260" s="156"/>
      <c r="W260" s="156"/>
    </row>
    <row r="261" spans="1:30">
      <c r="A261" s="167" t="s">
        <v>434</v>
      </c>
      <c r="B261" s="168"/>
      <c r="C261" s="1176"/>
      <c r="D261" s="1177"/>
      <c r="E261" s="1177"/>
      <c r="F261" s="1615" t="str">
        <f t="shared" si="205"/>
        <v>-</v>
      </c>
      <c r="G261" s="169"/>
      <c r="H261" s="170"/>
      <c r="I261" s="170"/>
      <c r="J261" s="171">
        <f>+B261+IF(D261&lt;=E261,E261,D261)+G261+H261+I261</f>
        <v>0</v>
      </c>
      <c r="K261" s="814"/>
      <c r="L261" s="167" t="s">
        <v>434</v>
      </c>
      <c r="M261" s="168"/>
      <c r="N261" s="1176"/>
      <c r="O261" s="1177"/>
      <c r="P261" s="1177"/>
      <c r="Q261" s="1615" t="str">
        <f t="shared" si="208"/>
        <v>-</v>
      </c>
      <c r="R261" s="169"/>
      <c r="S261" s="170"/>
      <c r="T261" s="170"/>
      <c r="U261" s="171">
        <f>+M261+IF(O261&lt;=P261,P261,O261)+R261+S261+T261</f>
        <v>0</v>
      </c>
      <c r="V261" s="799"/>
      <c r="W261" s="799"/>
      <c r="X261" s="118"/>
      <c r="AB261" s="118"/>
    </row>
    <row r="262" spans="1:30">
      <c r="A262" s="172" t="s">
        <v>435</v>
      </c>
      <c r="B262" s="173"/>
      <c r="C262" s="182"/>
      <c r="D262" s="1178">
        <v>209947</v>
      </c>
      <c r="E262" s="1178">
        <v>209947</v>
      </c>
      <c r="F262" s="1615">
        <f t="shared" si="205"/>
        <v>1</v>
      </c>
      <c r="G262" s="174"/>
      <c r="H262" s="175"/>
      <c r="I262" s="175"/>
      <c r="J262" s="176">
        <f t="shared" ref="J262:J265" si="209">+B262+IF(D262&lt;=E262,E262,D262)+G262+H262+I262</f>
        <v>209947</v>
      </c>
      <c r="K262" s="814"/>
      <c r="L262" s="172" t="s">
        <v>435</v>
      </c>
      <c r="M262" s="173">
        <v>84548</v>
      </c>
      <c r="N262" s="182"/>
      <c r="O262" s="1178"/>
      <c r="P262" s="1178"/>
      <c r="Q262" s="1615" t="str">
        <f t="shared" si="208"/>
        <v>-</v>
      </c>
      <c r="R262" s="174"/>
      <c r="S262" s="175"/>
      <c r="T262" s="175"/>
      <c r="U262" s="176">
        <f t="shared" ref="U262:U265" si="210">+M262+IF(O262&lt;=P262,P262,O262)+R262+S262+T262</f>
        <v>84548</v>
      </c>
      <c r="V262" s="156"/>
      <c r="W262" s="156"/>
      <c r="X262" s="118"/>
      <c r="Y262" s="118"/>
      <c r="Z262" s="118"/>
      <c r="AA262" s="118"/>
      <c r="AB262" s="118"/>
      <c r="AC262" s="118"/>
      <c r="AD262" s="118"/>
    </row>
    <row r="263" spans="1:30">
      <c r="A263" s="172" t="s">
        <v>436</v>
      </c>
      <c r="B263" s="173"/>
      <c r="C263" s="182"/>
      <c r="D263" s="1178"/>
      <c r="E263" s="1178"/>
      <c r="F263" s="1615" t="str">
        <f t="shared" si="205"/>
        <v>-</v>
      </c>
      <c r="G263" s="174"/>
      <c r="H263" s="175"/>
      <c r="I263" s="175"/>
      <c r="J263" s="176">
        <f t="shared" si="209"/>
        <v>0</v>
      </c>
      <c r="K263" s="814"/>
      <c r="L263" s="172" t="s">
        <v>436</v>
      </c>
      <c r="M263" s="173"/>
      <c r="N263" s="182"/>
      <c r="O263" s="1178"/>
      <c r="P263" s="1178"/>
      <c r="Q263" s="1615" t="str">
        <f t="shared" si="208"/>
        <v>-</v>
      </c>
      <c r="R263" s="174"/>
      <c r="S263" s="175"/>
      <c r="T263" s="175"/>
      <c r="U263" s="176">
        <f t="shared" si="210"/>
        <v>0</v>
      </c>
      <c r="V263" s="156"/>
      <c r="W263" s="156"/>
      <c r="X263" s="118"/>
      <c r="AB263" s="118"/>
    </row>
    <row r="264" spans="1:30">
      <c r="A264" s="172" t="s">
        <v>437</v>
      </c>
      <c r="B264" s="173"/>
      <c r="C264" s="182"/>
      <c r="D264" s="1178"/>
      <c r="E264" s="1178"/>
      <c r="F264" s="1615" t="str">
        <f t="shared" si="205"/>
        <v>-</v>
      </c>
      <c r="G264" s="174"/>
      <c r="H264" s="175"/>
      <c r="I264" s="175"/>
      <c r="J264" s="176">
        <f t="shared" si="209"/>
        <v>0</v>
      </c>
      <c r="K264" s="814"/>
      <c r="L264" s="172" t="s">
        <v>437</v>
      </c>
      <c r="M264" s="173"/>
      <c r="N264" s="182"/>
      <c r="O264" s="1178"/>
      <c r="P264" s="1178"/>
      <c r="Q264" s="1615" t="str">
        <f t="shared" si="208"/>
        <v>-</v>
      </c>
      <c r="R264" s="174"/>
      <c r="S264" s="175"/>
      <c r="T264" s="175"/>
      <c r="U264" s="176">
        <f t="shared" si="210"/>
        <v>0</v>
      </c>
      <c r="V264" s="156"/>
      <c r="W264" s="156"/>
      <c r="X264" s="118"/>
      <c r="AB264" s="118"/>
    </row>
    <row r="265" spans="1:30" ht="12.75" thickBot="1">
      <c r="A265" s="172" t="s">
        <v>438</v>
      </c>
      <c r="B265" s="173"/>
      <c r="C265" s="182"/>
      <c r="D265" s="1178"/>
      <c r="E265" s="1178"/>
      <c r="F265" s="1615" t="str">
        <f t="shared" si="205"/>
        <v>-</v>
      </c>
      <c r="G265" s="174"/>
      <c r="H265" s="175"/>
      <c r="I265" s="175"/>
      <c r="J265" s="176">
        <f t="shared" si="209"/>
        <v>0</v>
      </c>
      <c r="K265" s="814"/>
      <c r="L265" s="172" t="s">
        <v>438</v>
      </c>
      <c r="M265" s="173"/>
      <c r="N265" s="182"/>
      <c r="O265" s="1178"/>
      <c r="P265" s="1178"/>
      <c r="Q265" s="1615" t="str">
        <f t="shared" si="208"/>
        <v>-</v>
      </c>
      <c r="R265" s="174"/>
      <c r="S265" s="175"/>
      <c r="T265" s="175"/>
      <c r="U265" s="176">
        <f t="shared" si="210"/>
        <v>0</v>
      </c>
      <c r="V265" s="156"/>
      <c r="W265" s="156"/>
      <c r="X265" s="118"/>
      <c r="AB265" s="118"/>
    </row>
    <row r="266" spans="1:30" ht="12.75" thickBot="1">
      <c r="A266" s="155" t="s">
        <v>439</v>
      </c>
      <c r="B266" s="177">
        <f t="shared" ref="B266:J266" si="211">+B260+B262+B263+B264+B265</f>
        <v>0</v>
      </c>
      <c r="C266" s="155">
        <f t="shared" si="211"/>
        <v>0</v>
      </c>
      <c r="D266" s="1180">
        <f t="shared" ref="D266:E266" si="212">+D260+D262+D263+D264+D265</f>
        <v>4572</v>
      </c>
      <c r="E266" s="1180">
        <f t="shared" si="212"/>
        <v>4572</v>
      </c>
      <c r="F266" s="1616">
        <f t="shared" si="205"/>
        <v>1</v>
      </c>
      <c r="G266" s="179">
        <f t="shared" si="211"/>
        <v>205375</v>
      </c>
      <c r="H266" s="177">
        <f t="shared" si="211"/>
        <v>0</v>
      </c>
      <c r="I266" s="177">
        <f t="shared" si="211"/>
        <v>0</v>
      </c>
      <c r="J266" s="178">
        <f t="shared" si="211"/>
        <v>209947</v>
      </c>
      <c r="K266" s="814"/>
      <c r="L266" s="155" t="s">
        <v>439</v>
      </c>
      <c r="M266" s="177">
        <f t="shared" ref="M266:U266" si="213">+M260+M262+M263+M264+M265</f>
        <v>0</v>
      </c>
      <c r="N266" s="155">
        <f t="shared" si="213"/>
        <v>84548</v>
      </c>
      <c r="O266" s="1180">
        <f t="shared" ref="O266:P266" si="214">+O260+O262+O263+O264+O265</f>
        <v>3338</v>
      </c>
      <c r="P266" s="1180">
        <f t="shared" si="214"/>
        <v>3338</v>
      </c>
      <c r="Q266" s="1616">
        <f t="shared" si="208"/>
        <v>1</v>
      </c>
      <c r="R266" s="179">
        <f t="shared" si="213"/>
        <v>81210</v>
      </c>
      <c r="S266" s="177">
        <f t="shared" si="213"/>
        <v>0</v>
      </c>
      <c r="T266" s="177">
        <f t="shared" si="213"/>
        <v>0</v>
      </c>
      <c r="U266" s="178">
        <f t="shared" si="213"/>
        <v>84548</v>
      </c>
      <c r="V266" s="156"/>
      <c r="W266" s="156"/>
    </row>
    <row r="267" spans="1:30" ht="12.75" thickBot="1">
      <c r="A267" s="180"/>
      <c r="B267" s="180"/>
      <c r="C267" s="180"/>
      <c r="D267" s="180"/>
      <c r="E267" s="180"/>
      <c r="F267" s="180"/>
      <c r="G267" s="180"/>
      <c r="H267" s="180"/>
      <c r="I267" s="180"/>
      <c r="J267" s="180"/>
      <c r="K267" s="814"/>
      <c r="L267" s="180"/>
      <c r="M267" s="180"/>
      <c r="N267" s="180"/>
      <c r="O267" s="180"/>
      <c r="P267" s="180"/>
      <c r="Q267" s="180"/>
      <c r="R267" s="180"/>
      <c r="S267" s="180"/>
      <c r="T267" s="180"/>
      <c r="U267" s="180"/>
      <c r="V267" s="180"/>
      <c r="W267" s="180"/>
    </row>
    <row r="268" spans="1:30" s="813" customFormat="1" ht="36.75" thickBot="1">
      <c r="A268" s="353" t="s">
        <v>440</v>
      </c>
      <c r="B268" s="354" t="s">
        <v>1314</v>
      </c>
      <c r="C268" s="1612" t="s">
        <v>1553</v>
      </c>
      <c r="D268" s="881" t="s">
        <v>1554</v>
      </c>
      <c r="E268" s="881" t="s">
        <v>2646</v>
      </c>
      <c r="F268" s="1613" t="s">
        <v>2645</v>
      </c>
      <c r="G268" s="335" t="s">
        <v>461</v>
      </c>
      <c r="H268" s="336" t="s">
        <v>462</v>
      </c>
      <c r="I268" s="336" t="s">
        <v>1313</v>
      </c>
      <c r="J268" s="1769" t="s">
        <v>18</v>
      </c>
      <c r="K268" s="816"/>
      <c r="L268" s="353" t="s">
        <v>440</v>
      </c>
      <c r="M268" s="354" t="s">
        <v>1314</v>
      </c>
      <c r="N268" s="1612" t="s">
        <v>1553</v>
      </c>
      <c r="O268" s="881" t="s">
        <v>1554</v>
      </c>
      <c r="P268" s="881" t="s">
        <v>2646</v>
      </c>
      <c r="Q268" s="1613" t="s">
        <v>2645</v>
      </c>
      <c r="R268" s="335" t="s">
        <v>461</v>
      </c>
      <c r="S268" s="336" t="s">
        <v>462</v>
      </c>
      <c r="T268" s="336" t="s">
        <v>1313</v>
      </c>
      <c r="U268" s="1769" t="s">
        <v>18</v>
      </c>
      <c r="V268" s="798"/>
      <c r="W268" s="798"/>
    </row>
    <row r="269" spans="1:30">
      <c r="A269" s="162" t="s">
        <v>446</v>
      </c>
      <c r="B269" s="163"/>
      <c r="C269" s="1174"/>
      <c r="D269" s="1175"/>
      <c r="E269" s="1175"/>
      <c r="F269" s="1614" t="str">
        <f t="shared" ref="F269:F277" si="215">IF(ISERROR(E269/D269),"-",E269/D269)</f>
        <v>-</v>
      </c>
      <c r="G269" s="164"/>
      <c r="H269" s="165"/>
      <c r="I269" s="165"/>
      <c r="J269" s="166">
        <f>+B269+IF(D269&lt;=E269,E269,D269)+G269+H269+I269</f>
        <v>0</v>
      </c>
      <c r="K269" s="814"/>
      <c r="L269" s="162" t="s">
        <v>446</v>
      </c>
      <c r="M269" s="163"/>
      <c r="N269" s="1174"/>
      <c r="O269" s="1175"/>
      <c r="P269" s="1175"/>
      <c r="Q269" s="1614" t="str">
        <f t="shared" ref="Q269:Q277" si="216">IF(ISERROR(P269/O269),"-",P269/O269)</f>
        <v>-</v>
      </c>
      <c r="R269" s="164"/>
      <c r="S269" s="165"/>
      <c r="T269" s="165"/>
      <c r="U269" s="166">
        <f>+M269+IF(O269&lt;=P269,P269,O269)+R269+S269+T269</f>
        <v>0</v>
      </c>
      <c r="V269" s="156"/>
      <c r="W269" s="156"/>
      <c r="X269" s="118"/>
      <c r="Y269" s="118"/>
      <c r="Z269" s="118"/>
      <c r="AA269" s="118"/>
      <c r="AB269" s="118"/>
      <c r="AC269" s="118"/>
      <c r="AD269" s="118"/>
    </row>
    <row r="270" spans="1:30">
      <c r="A270" s="181" t="s">
        <v>447</v>
      </c>
      <c r="B270" s="173"/>
      <c r="C270" s="182"/>
      <c r="D270" s="1178"/>
      <c r="E270" s="1178"/>
      <c r="F270" s="1615" t="str">
        <f t="shared" si="215"/>
        <v>-</v>
      </c>
      <c r="G270" s="174"/>
      <c r="H270" s="175"/>
      <c r="I270" s="175"/>
      <c r="J270" s="176">
        <f t="shared" ref="J270:J276" si="217">+B270+IF(D270&lt;=E270,E270,D270)+G270+H270+I270</f>
        <v>0</v>
      </c>
      <c r="K270" s="814"/>
      <c r="L270" s="181" t="s">
        <v>447</v>
      </c>
      <c r="M270" s="173"/>
      <c r="N270" s="182"/>
      <c r="O270" s="1178"/>
      <c r="P270" s="1178"/>
      <c r="Q270" s="1615" t="str">
        <f t="shared" si="216"/>
        <v>-</v>
      </c>
      <c r="R270" s="174"/>
      <c r="S270" s="175"/>
      <c r="T270" s="175"/>
      <c r="U270" s="176">
        <f t="shared" ref="U270:U276" si="218">+M270+IF(O270&lt;=P270,P270,O270)+R270+S270+T270</f>
        <v>0</v>
      </c>
      <c r="V270" s="156"/>
      <c r="W270" s="156"/>
      <c r="X270" s="118"/>
      <c r="Y270" s="118"/>
      <c r="Z270" s="118"/>
      <c r="AA270" s="118"/>
      <c r="AB270" s="118"/>
      <c r="AC270" s="118"/>
      <c r="AD270" s="118"/>
    </row>
    <row r="271" spans="1:30">
      <c r="A271" s="172" t="s">
        <v>448</v>
      </c>
      <c r="B271" s="173"/>
      <c r="C271" s="182"/>
      <c r="D271" s="1178">
        <v>4572</v>
      </c>
      <c r="E271" s="1178">
        <v>4572</v>
      </c>
      <c r="F271" s="1615">
        <f t="shared" si="215"/>
        <v>1</v>
      </c>
      <c r="G271" s="174"/>
      <c r="H271" s="175"/>
      <c r="I271" s="175"/>
      <c r="J271" s="176">
        <f t="shared" si="217"/>
        <v>4572</v>
      </c>
      <c r="K271" s="814"/>
      <c r="L271" s="172" t="s">
        <v>448</v>
      </c>
      <c r="M271" s="173"/>
      <c r="N271" s="182"/>
      <c r="O271" s="1178">
        <v>3338</v>
      </c>
      <c r="P271" s="1178">
        <v>3338</v>
      </c>
      <c r="Q271" s="1615">
        <f t="shared" si="216"/>
        <v>1</v>
      </c>
      <c r="R271" s="174"/>
      <c r="S271" s="175"/>
      <c r="T271" s="175"/>
      <c r="U271" s="176">
        <f t="shared" si="218"/>
        <v>3338</v>
      </c>
      <c r="V271" s="156"/>
      <c r="W271" s="156"/>
      <c r="X271" s="118"/>
      <c r="Y271" s="118"/>
      <c r="Z271" s="118"/>
      <c r="AA271" s="118"/>
      <c r="AB271" s="118"/>
      <c r="AC271" s="118"/>
      <c r="AD271" s="118"/>
    </row>
    <row r="272" spans="1:30">
      <c r="A272" s="172" t="s">
        <v>449</v>
      </c>
      <c r="B272" s="173"/>
      <c r="C272" s="182"/>
      <c r="D272" s="1178"/>
      <c r="E272" s="1178"/>
      <c r="F272" s="1615" t="str">
        <f t="shared" si="215"/>
        <v>-</v>
      </c>
      <c r="G272" s="174"/>
      <c r="H272" s="175"/>
      <c r="I272" s="175"/>
      <c r="J272" s="176">
        <f t="shared" si="217"/>
        <v>0</v>
      </c>
      <c r="K272" s="814"/>
      <c r="L272" s="172" t="s">
        <v>449</v>
      </c>
      <c r="M272" s="173"/>
      <c r="N272" s="182"/>
      <c r="O272" s="1178"/>
      <c r="P272" s="1178"/>
      <c r="Q272" s="1615" t="str">
        <f t="shared" si="216"/>
        <v>-</v>
      </c>
      <c r="R272" s="174"/>
      <c r="S272" s="175"/>
      <c r="T272" s="175"/>
      <c r="U272" s="176">
        <f t="shared" si="218"/>
        <v>0</v>
      </c>
      <c r="V272" s="156"/>
      <c r="W272" s="156"/>
      <c r="X272" s="118"/>
      <c r="Z272" s="118"/>
      <c r="AA272" s="118"/>
      <c r="AB272" s="118"/>
      <c r="AD272" s="118"/>
    </row>
    <row r="273" spans="1:30">
      <c r="A273" s="182" t="s">
        <v>450</v>
      </c>
      <c r="B273" s="183"/>
      <c r="C273" s="182"/>
      <c r="D273" s="1178">
        <v>0</v>
      </c>
      <c r="E273" s="1178"/>
      <c r="F273" s="1615" t="str">
        <f t="shared" si="215"/>
        <v>-</v>
      </c>
      <c r="G273" s="174">
        <v>205375</v>
      </c>
      <c r="H273" s="175"/>
      <c r="I273" s="175"/>
      <c r="J273" s="176">
        <f t="shared" si="217"/>
        <v>205375</v>
      </c>
      <c r="K273" s="814"/>
      <c r="L273" s="182" t="s">
        <v>450</v>
      </c>
      <c r="M273" s="183"/>
      <c r="N273" s="182">
        <v>84548</v>
      </c>
      <c r="O273" s="1178">
        <v>0</v>
      </c>
      <c r="P273" s="1178"/>
      <c r="Q273" s="1615" t="str">
        <f t="shared" si="216"/>
        <v>-</v>
      </c>
      <c r="R273" s="174">
        <v>81210</v>
      </c>
      <c r="S273" s="175"/>
      <c r="T273" s="175"/>
      <c r="U273" s="176">
        <f t="shared" si="218"/>
        <v>81210</v>
      </c>
      <c r="V273" s="156"/>
      <c r="W273" s="156"/>
      <c r="X273" s="118"/>
      <c r="Y273" s="118"/>
      <c r="Z273" s="118"/>
      <c r="AA273" s="118"/>
      <c r="AB273" s="118"/>
      <c r="AC273" s="118"/>
      <c r="AD273" s="118"/>
    </row>
    <row r="274" spans="1:30">
      <c r="A274" s="182" t="s">
        <v>451</v>
      </c>
      <c r="B274" s="183"/>
      <c r="C274" s="182"/>
      <c r="D274" s="1178"/>
      <c r="E274" s="1178"/>
      <c r="F274" s="1615" t="str">
        <f t="shared" si="215"/>
        <v>-</v>
      </c>
      <c r="G274" s="174"/>
      <c r="H274" s="175"/>
      <c r="I274" s="175"/>
      <c r="J274" s="176">
        <f t="shared" si="217"/>
        <v>0</v>
      </c>
      <c r="K274" s="814"/>
      <c r="L274" s="182" t="s">
        <v>451</v>
      </c>
      <c r="M274" s="183"/>
      <c r="N274" s="182"/>
      <c r="O274" s="1178"/>
      <c r="P274" s="1178"/>
      <c r="Q274" s="1615" t="str">
        <f t="shared" si="216"/>
        <v>-</v>
      </c>
      <c r="R274" s="174"/>
      <c r="S274" s="175"/>
      <c r="T274" s="175"/>
      <c r="U274" s="176">
        <f t="shared" si="218"/>
        <v>0</v>
      </c>
      <c r="V274" s="156"/>
      <c r="W274" s="156"/>
      <c r="X274" s="118"/>
      <c r="Y274" s="118"/>
      <c r="Z274" s="118"/>
      <c r="AA274" s="118"/>
      <c r="AB274" s="118"/>
      <c r="AC274" s="118"/>
      <c r="AD274" s="118"/>
    </row>
    <row r="275" spans="1:30">
      <c r="A275" s="184" t="s">
        <v>452</v>
      </c>
      <c r="B275" s="185"/>
      <c r="C275" s="184"/>
      <c r="D275" s="1181"/>
      <c r="E275" s="1181"/>
      <c r="F275" s="1617" t="str">
        <f t="shared" si="215"/>
        <v>-</v>
      </c>
      <c r="G275" s="186"/>
      <c r="H275" s="187"/>
      <c r="I275" s="187"/>
      <c r="J275" s="176">
        <f t="shared" si="217"/>
        <v>0</v>
      </c>
      <c r="K275" s="814"/>
      <c r="L275" s="184" t="s">
        <v>452</v>
      </c>
      <c r="M275" s="185"/>
      <c r="N275" s="184"/>
      <c r="O275" s="1181"/>
      <c r="P275" s="1181"/>
      <c r="Q275" s="1617" t="str">
        <f t="shared" si="216"/>
        <v>-</v>
      </c>
      <c r="R275" s="174"/>
      <c r="S275" s="187"/>
      <c r="T275" s="187"/>
      <c r="U275" s="176">
        <f t="shared" si="218"/>
        <v>0</v>
      </c>
      <c r="V275" s="156"/>
      <c r="W275" s="156"/>
      <c r="X275" s="118"/>
      <c r="Y275" s="118"/>
      <c r="Z275" s="118"/>
      <c r="AA275" s="118"/>
      <c r="AB275" s="118"/>
      <c r="AC275" s="118"/>
      <c r="AD275" s="118"/>
    </row>
    <row r="276" spans="1:30" ht="12.75" thickBot="1">
      <c r="A276" s="184" t="s">
        <v>453</v>
      </c>
      <c r="B276" s="185"/>
      <c r="C276" s="184"/>
      <c r="D276" s="1181"/>
      <c r="E276" s="1181"/>
      <c r="F276" s="1617" t="str">
        <f t="shared" si="215"/>
        <v>-</v>
      </c>
      <c r="G276" s="186"/>
      <c r="H276" s="187"/>
      <c r="I276" s="187"/>
      <c r="J276" s="176">
        <f t="shared" si="217"/>
        <v>0</v>
      </c>
      <c r="K276" s="814"/>
      <c r="L276" s="184" t="s">
        <v>453</v>
      </c>
      <c r="M276" s="185"/>
      <c r="N276" s="184"/>
      <c r="O276" s="1181"/>
      <c r="P276" s="1181"/>
      <c r="Q276" s="1617" t="str">
        <f t="shared" si="216"/>
        <v>-</v>
      </c>
      <c r="R276" s="186"/>
      <c r="S276" s="187"/>
      <c r="T276" s="187"/>
      <c r="U276" s="176">
        <f t="shared" si="218"/>
        <v>0</v>
      </c>
      <c r="V276" s="156"/>
      <c r="W276" s="156"/>
      <c r="X276" s="118"/>
      <c r="Y276" s="118"/>
      <c r="Z276" s="118"/>
      <c r="AA276" s="118"/>
      <c r="AB276" s="118"/>
      <c r="AC276" s="118"/>
      <c r="AD276" s="118"/>
    </row>
    <row r="277" spans="1:30" ht="12.75" thickBot="1">
      <c r="A277" s="155" t="s">
        <v>454</v>
      </c>
      <c r="B277" s="177">
        <f t="shared" ref="B277:J277" si="219">+B269+B270+B271+B272+B273+B274+B275+B276</f>
        <v>0</v>
      </c>
      <c r="C277" s="155">
        <f t="shared" si="219"/>
        <v>0</v>
      </c>
      <c r="D277" s="1180">
        <f t="shared" ref="D277:E277" si="220">+D269+D270+D271+D272+D273+D274+D275+D276</f>
        <v>4572</v>
      </c>
      <c r="E277" s="1180">
        <f t="shared" si="220"/>
        <v>4572</v>
      </c>
      <c r="F277" s="1616">
        <f t="shared" si="215"/>
        <v>1</v>
      </c>
      <c r="G277" s="179">
        <f t="shared" si="219"/>
        <v>205375</v>
      </c>
      <c r="H277" s="177">
        <f t="shared" si="219"/>
        <v>0</v>
      </c>
      <c r="I277" s="177">
        <f t="shared" si="219"/>
        <v>0</v>
      </c>
      <c r="J277" s="178">
        <f t="shared" si="219"/>
        <v>209947</v>
      </c>
      <c r="L277" s="155" t="s">
        <v>454</v>
      </c>
      <c r="M277" s="177">
        <f t="shared" ref="M277:U277" si="221">+M269+M270+M271+M272+M273+M274+M275+M276</f>
        <v>0</v>
      </c>
      <c r="N277" s="155">
        <f t="shared" si="221"/>
        <v>84548</v>
      </c>
      <c r="O277" s="1180">
        <f t="shared" ref="O277:P277" si="222">+O269+O270+O271+O272+O273+O274+O275+O276</f>
        <v>3338</v>
      </c>
      <c r="P277" s="1180">
        <f t="shared" si="222"/>
        <v>3338</v>
      </c>
      <c r="Q277" s="1616">
        <f t="shared" si="216"/>
        <v>1</v>
      </c>
      <c r="R277" s="179">
        <f t="shared" si="221"/>
        <v>81210</v>
      </c>
      <c r="S277" s="177">
        <f t="shared" si="221"/>
        <v>0</v>
      </c>
      <c r="T277" s="177">
        <f t="shared" si="221"/>
        <v>0</v>
      </c>
      <c r="U277" s="178">
        <f t="shared" si="221"/>
        <v>84548</v>
      </c>
      <c r="V277" s="156"/>
      <c r="W277" s="156"/>
      <c r="Y277" s="814"/>
      <c r="AC277" s="814"/>
    </row>
    <row r="278" spans="1:30">
      <c r="A278" s="156"/>
      <c r="B278" s="156"/>
      <c r="C278" s="156"/>
      <c r="D278" s="156"/>
      <c r="E278" s="156"/>
      <c r="F278" s="156"/>
      <c r="G278" s="156"/>
      <c r="H278" s="156"/>
      <c r="I278" s="156"/>
      <c r="J278" s="156"/>
      <c r="K278" s="814"/>
      <c r="L278" s="156"/>
      <c r="M278" s="156"/>
      <c r="N278" s="156"/>
      <c r="O278" s="156"/>
      <c r="P278" s="156"/>
      <c r="Q278" s="156"/>
      <c r="R278" s="156"/>
      <c r="S278" s="156"/>
      <c r="T278" s="156"/>
      <c r="U278" s="156"/>
      <c r="V278" s="156"/>
      <c r="W278" s="156"/>
    </row>
    <row r="280" spans="1:30" s="807" customFormat="1" ht="15.75">
      <c r="A280" s="154" t="s">
        <v>1514</v>
      </c>
      <c r="B280" s="1767" t="s">
        <v>1532</v>
      </c>
      <c r="C280" s="1767"/>
      <c r="D280" s="1767"/>
      <c r="E280" s="1767"/>
      <c r="F280" s="1767"/>
      <c r="G280" s="1767"/>
      <c r="H280" s="1767"/>
      <c r="I280" s="1767"/>
      <c r="J280" s="1767"/>
      <c r="K280" s="719"/>
      <c r="L280" s="154" t="s">
        <v>1515</v>
      </c>
      <c r="M280" s="1767" t="s">
        <v>1534</v>
      </c>
      <c r="N280" s="1767"/>
      <c r="O280" s="1767"/>
      <c r="P280" s="1767"/>
      <c r="Q280" s="1767"/>
      <c r="R280" s="1767"/>
      <c r="S280" s="1767"/>
      <c r="T280" s="1767"/>
      <c r="U280" s="1767"/>
      <c r="V280" s="1767"/>
      <c r="W280" s="1767"/>
    </row>
    <row r="281" spans="1:30" s="807" customFormat="1" ht="15.75" customHeight="1">
      <c r="A281" s="1819" t="s">
        <v>1533</v>
      </c>
      <c r="B281" s="1819"/>
      <c r="C281" s="1819"/>
      <c r="D281" s="1819"/>
      <c r="E281" s="1819"/>
      <c r="F281" s="1819"/>
      <c r="G281" s="1819"/>
      <c r="H281" s="1819"/>
      <c r="I281" s="1819"/>
      <c r="J281" s="1819"/>
      <c r="K281" s="719"/>
      <c r="L281" s="1819" t="s">
        <v>1535</v>
      </c>
      <c r="M281" s="1819"/>
      <c r="N281" s="1819"/>
      <c r="O281" s="1819"/>
      <c r="P281" s="1819"/>
      <c r="Q281" s="1819"/>
      <c r="R281" s="1819"/>
      <c r="S281" s="1819"/>
      <c r="T281" s="1819"/>
      <c r="U281" s="1819"/>
      <c r="V281" s="1766"/>
      <c r="W281" s="1766"/>
    </row>
    <row r="282" spans="1:30" s="807" customFormat="1" ht="15.75">
      <c r="A282" s="1818" t="s">
        <v>1120</v>
      </c>
      <c r="B282" s="1818"/>
      <c r="C282" s="1818"/>
      <c r="D282" s="1818"/>
      <c r="E282" s="1818"/>
      <c r="F282" s="1818"/>
      <c r="G282" s="1818"/>
      <c r="H282" s="1818"/>
      <c r="I282" s="1818"/>
      <c r="J282" s="1818"/>
      <c r="K282" s="719"/>
      <c r="L282" s="1818" t="s">
        <v>1120</v>
      </c>
      <c r="M282" s="1818"/>
      <c r="N282" s="1818"/>
      <c r="O282" s="1818"/>
      <c r="P282" s="1818"/>
      <c r="Q282" s="1818"/>
      <c r="R282" s="1818"/>
      <c r="S282" s="1818"/>
      <c r="T282" s="1818"/>
      <c r="U282" s="1818"/>
      <c r="V282" s="1765"/>
      <c r="W282" s="1765"/>
    </row>
    <row r="283" spans="1:30" s="810" customFormat="1" ht="12.75" thickBot="1">
      <c r="A283" s="809"/>
      <c r="B283" s="809"/>
      <c r="G283" s="809"/>
      <c r="H283" s="809"/>
      <c r="J283" s="199" t="s">
        <v>281</v>
      </c>
      <c r="K283" s="811"/>
      <c r="L283" s="809"/>
      <c r="M283" s="809"/>
      <c r="N283" s="809"/>
      <c r="O283" s="809"/>
      <c r="P283" s="809"/>
      <c r="Q283" s="809"/>
      <c r="R283" s="809"/>
      <c r="S283" s="809"/>
      <c r="U283" s="199" t="s">
        <v>281</v>
      </c>
      <c r="V283" s="797"/>
      <c r="W283" s="797"/>
    </row>
    <row r="284" spans="1:30" s="813" customFormat="1" ht="36.75" thickBot="1">
      <c r="A284" s="353" t="s">
        <v>432</v>
      </c>
      <c r="B284" s="354" t="s">
        <v>1314</v>
      </c>
      <c r="C284" s="1612" t="s">
        <v>1553</v>
      </c>
      <c r="D284" s="881" t="s">
        <v>1554</v>
      </c>
      <c r="E284" s="881" t="s">
        <v>2646</v>
      </c>
      <c r="F284" s="1613" t="s">
        <v>2645</v>
      </c>
      <c r="G284" s="335" t="s">
        <v>461</v>
      </c>
      <c r="H284" s="336" t="s">
        <v>462</v>
      </c>
      <c r="I284" s="336" t="s">
        <v>1313</v>
      </c>
      <c r="J284" s="1769" t="s">
        <v>18</v>
      </c>
      <c r="K284" s="816"/>
      <c r="L284" s="353" t="s">
        <v>432</v>
      </c>
      <c r="M284" s="354" t="s">
        <v>1314</v>
      </c>
      <c r="N284" s="1612" t="s">
        <v>1553</v>
      </c>
      <c r="O284" s="881" t="s">
        <v>1554</v>
      </c>
      <c r="P284" s="881" t="s">
        <v>2646</v>
      </c>
      <c r="Q284" s="1613" t="s">
        <v>2645</v>
      </c>
      <c r="R284" s="335" t="s">
        <v>461</v>
      </c>
      <c r="S284" s="336" t="s">
        <v>462</v>
      </c>
      <c r="T284" s="336" t="s">
        <v>1313</v>
      </c>
      <c r="U284" s="1769" t="s">
        <v>18</v>
      </c>
      <c r="V284" s="798"/>
      <c r="W284" s="798"/>
    </row>
    <row r="285" spans="1:30">
      <c r="A285" s="162" t="s">
        <v>433</v>
      </c>
      <c r="B285" s="163">
        <f t="shared" ref="B285:J285" si="223">+B302-B290-B289-B288-B287</f>
        <v>0</v>
      </c>
      <c r="C285" s="1174">
        <f t="shared" si="223"/>
        <v>0</v>
      </c>
      <c r="D285" s="1175">
        <f t="shared" ref="D285:E285" si="224">+D302-D290-D289-D288-D287</f>
        <v>-513982</v>
      </c>
      <c r="E285" s="1175">
        <f t="shared" si="224"/>
        <v>-513982</v>
      </c>
      <c r="F285" s="1614">
        <f t="shared" ref="F285:F291" si="225">IF(ISERROR(E285/D285),"-",E285/D285)</f>
        <v>1</v>
      </c>
      <c r="G285" s="164">
        <f t="shared" si="223"/>
        <v>513982</v>
      </c>
      <c r="H285" s="165">
        <f t="shared" si="223"/>
        <v>0</v>
      </c>
      <c r="I285" s="165">
        <f t="shared" si="223"/>
        <v>0</v>
      </c>
      <c r="J285" s="166">
        <f t="shared" si="223"/>
        <v>0</v>
      </c>
      <c r="K285" s="814"/>
      <c r="L285" s="162" t="s">
        <v>433</v>
      </c>
      <c r="M285" s="163">
        <f t="shared" ref="M285:U285" si="226">+M302-M290-M289-M288-M287</f>
        <v>-28285</v>
      </c>
      <c r="N285" s="1174">
        <f t="shared" si="226"/>
        <v>25745</v>
      </c>
      <c r="O285" s="1175">
        <f t="shared" ref="O285:P285" si="227">+O302-O290-O289-O288-O287</f>
        <v>0</v>
      </c>
      <c r="P285" s="1175">
        <f t="shared" si="227"/>
        <v>0</v>
      </c>
      <c r="Q285" s="1614" t="str">
        <f t="shared" ref="Q285:Q291" si="228">IF(ISERROR(P285/O285),"-",P285/O285)</f>
        <v>-</v>
      </c>
      <c r="R285" s="164">
        <f t="shared" si="226"/>
        <v>28285</v>
      </c>
      <c r="S285" s="165">
        <f t="shared" si="226"/>
        <v>0</v>
      </c>
      <c r="T285" s="165">
        <f t="shared" si="226"/>
        <v>0</v>
      </c>
      <c r="U285" s="166">
        <f t="shared" si="226"/>
        <v>0</v>
      </c>
      <c r="V285" s="156"/>
      <c r="W285" s="156"/>
    </row>
    <row r="286" spans="1:30">
      <c r="A286" s="167" t="s">
        <v>434</v>
      </c>
      <c r="B286" s="168"/>
      <c r="C286" s="1176"/>
      <c r="D286" s="1177"/>
      <c r="E286" s="1177"/>
      <c r="F286" s="1615" t="str">
        <f t="shared" si="225"/>
        <v>-</v>
      </c>
      <c r="G286" s="169"/>
      <c r="H286" s="170"/>
      <c r="I286" s="170"/>
      <c r="J286" s="171">
        <f>+B286+IF(D286&lt;=E286,E286,D286)+G286+H286+I286</f>
        <v>0</v>
      </c>
      <c r="K286" s="814"/>
      <c r="L286" s="167" t="s">
        <v>434</v>
      </c>
      <c r="M286" s="168"/>
      <c r="N286" s="1176"/>
      <c r="O286" s="1177"/>
      <c r="P286" s="1177"/>
      <c r="Q286" s="1615" t="str">
        <f t="shared" si="228"/>
        <v>-</v>
      </c>
      <c r="R286" s="169"/>
      <c r="S286" s="170"/>
      <c r="T286" s="170"/>
      <c r="U286" s="171">
        <f>+M286+IF(O286&lt;=P286,P286,O286)+R286+S286+T286</f>
        <v>0</v>
      </c>
      <c r="V286" s="799"/>
      <c r="W286" s="799"/>
      <c r="X286" s="118"/>
      <c r="AB286" s="118"/>
    </row>
    <row r="287" spans="1:30">
      <c r="A287" s="172" t="s">
        <v>435</v>
      </c>
      <c r="B287" s="173"/>
      <c r="C287" s="182"/>
      <c r="D287" s="1178">
        <v>530000</v>
      </c>
      <c r="E287" s="1178">
        <v>530000</v>
      </c>
      <c r="F287" s="1615">
        <f t="shared" si="225"/>
        <v>1</v>
      </c>
      <c r="G287" s="174"/>
      <c r="H287" s="175"/>
      <c r="I287" s="175"/>
      <c r="J287" s="176">
        <f t="shared" ref="J287:J290" si="229">+B287+IF(D287&lt;=E287,E287,D287)+G287+H287+I287</f>
        <v>530000</v>
      </c>
      <c r="K287" s="814"/>
      <c r="L287" s="172" t="s">
        <v>435</v>
      </c>
      <c r="M287" s="173">
        <v>28285</v>
      </c>
      <c r="N287" s="182"/>
      <c r="O287" s="1178"/>
      <c r="P287" s="1178"/>
      <c r="Q287" s="1615" t="str">
        <f t="shared" si="228"/>
        <v>-</v>
      </c>
      <c r="R287" s="174"/>
      <c r="S287" s="175"/>
      <c r="T287" s="175"/>
      <c r="U287" s="176">
        <f t="shared" ref="U287:U290" si="230">+M287+IF(O287&lt;=P287,P287,O287)+R287+S287+T287</f>
        <v>28285</v>
      </c>
      <c r="V287" s="156"/>
      <c r="W287" s="156"/>
      <c r="X287" s="118"/>
      <c r="Y287" s="118"/>
      <c r="Z287" s="118"/>
      <c r="AA287" s="118"/>
      <c r="AB287" s="118"/>
      <c r="AC287" s="118"/>
      <c r="AD287" s="118"/>
    </row>
    <row r="288" spans="1:30">
      <c r="A288" s="172" t="s">
        <v>436</v>
      </c>
      <c r="B288" s="173"/>
      <c r="C288" s="182"/>
      <c r="D288" s="1178"/>
      <c r="E288" s="1178"/>
      <c r="F288" s="1615" t="str">
        <f t="shared" si="225"/>
        <v>-</v>
      </c>
      <c r="G288" s="174"/>
      <c r="H288" s="175"/>
      <c r="I288" s="175"/>
      <c r="J288" s="176">
        <f t="shared" si="229"/>
        <v>0</v>
      </c>
      <c r="K288" s="814"/>
      <c r="L288" s="172" t="s">
        <v>436</v>
      </c>
      <c r="M288" s="173"/>
      <c r="N288" s="182"/>
      <c r="O288" s="1178"/>
      <c r="P288" s="1178"/>
      <c r="Q288" s="1615" t="str">
        <f t="shared" si="228"/>
        <v>-</v>
      </c>
      <c r="R288" s="174"/>
      <c r="S288" s="175"/>
      <c r="T288" s="175"/>
      <c r="U288" s="176">
        <f t="shared" si="230"/>
        <v>0</v>
      </c>
      <c r="V288" s="156"/>
      <c r="W288" s="156"/>
      <c r="X288" s="118"/>
      <c r="AB288" s="118"/>
    </row>
    <row r="289" spans="1:30">
      <c r="A289" s="172" t="s">
        <v>437</v>
      </c>
      <c r="B289" s="173"/>
      <c r="C289" s="182"/>
      <c r="D289" s="1178"/>
      <c r="E289" s="1178"/>
      <c r="F289" s="1615" t="str">
        <f t="shared" si="225"/>
        <v>-</v>
      </c>
      <c r="G289" s="174"/>
      <c r="H289" s="175"/>
      <c r="I289" s="175"/>
      <c r="J289" s="176">
        <f t="shared" si="229"/>
        <v>0</v>
      </c>
      <c r="K289" s="814"/>
      <c r="L289" s="172" t="s">
        <v>437</v>
      </c>
      <c r="M289" s="173"/>
      <c r="N289" s="182"/>
      <c r="O289" s="1178"/>
      <c r="P289" s="1178"/>
      <c r="Q289" s="1615" t="str">
        <f t="shared" si="228"/>
        <v>-</v>
      </c>
      <c r="R289" s="174"/>
      <c r="S289" s="175"/>
      <c r="T289" s="175"/>
      <c r="U289" s="176">
        <f t="shared" si="230"/>
        <v>0</v>
      </c>
      <c r="V289" s="156"/>
      <c r="W289" s="156"/>
      <c r="X289" s="118"/>
      <c r="AB289" s="118"/>
    </row>
    <row r="290" spans="1:30" ht="12.75" thickBot="1">
      <c r="A290" s="172" t="s">
        <v>438</v>
      </c>
      <c r="B290" s="173"/>
      <c r="C290" s="182"/>
      <c r="D290" s="1178"/>
      <c r="E290" s="1178"/>
      <c r="F290" s="1615" t="str">
        <f t="shared" si="225"/>
        <v>-</v>
      </c>
      <c r="G290" s="174"/>
      <c r="H290" s="175"/>
      <c r="I290" s="175"/>
      <c r="J290" s="176">
        <f t="shared" si="229"/>
        <v>0</v>
      </c>
      <c r="K290" s="814"/>
      <c r="L290" s="172" t="s">
        <v>438</v>
      </c>
      <c r="M290" s="173"/>
      <c r="N290" s="182"/>
      <c r="O290" s="1178"/>
      <c r="P290" s="1178"/>
      <c r="Q290" s="1615" t="str">
        <f t="shared" si="228"/>
        <v>-</v>
      </c>
      <c r="R290" s="174"/>
      <c r="S290" s="175"/>
      <c r="T290" s="175"/>
      <c r="U290" s="176">
        <f t="shared" si="230"/>
        <v>0</v>
      </c>
      <c r="V290" s="156"/>
      <c r="W290" s="156"/>
      <c r="X290" s="118"/>
      <c r="AB290" s="118"/>
    </row>
    <row r="291" spans="1:30" ht="12.75" thickBot="1">
      <c r="A291" s="155" t="s">
        <v>439</v>
      </c>
      <c r="B291" s="177">
        <f t="shared" ref="B291:J291" si="231">+B285+B287+B288+B289+B290</f>
        <v>0</v>
      </c>
      <c r="C291" s="155">
        <f t="shared" si="231"/>
        <v>0</v>
      </c>
      <c r="D291" s="1180">
        <f t="shared" ref="D291:E291" si="232">+D285+D287+D288+D289+D290</f>
        <v>16018</v>
      </c>
      <c r="E291" s="1180">
        <f t="shared" si="232"/>
        <v>16018</v>
      </c>
      <c r="F291" s="1616">
        <f t="shared" si="225"/>
        <v>1</v>
      </c>
      <c r="G291" s="179">
        <f t="shared" si="231"/>
        <v>513982</v>
      </c>
      <c r="H291" s="177">
        <f t="shared" si="231"/>
        <v>0</v>
      </c>
      <c r="I291" s="177">
        <f t="shared" si="231"/>
        <v>0</v>
      </c>
      <c r="J291" s="178">
        <f t="shared" si="231"/>
        <v>530000</v>
      </c>
      <c r="K291" s="814"/>
      <c r="L291" s="155" t="s">
        <v>439</v>
      </c>
      <c r="M291" s="177">
        <f t="shared" ref="M291:U291" si="233">+M285+M287+M288+M289+M290</f>
        <v>0</v>
      </c>
      <c r="N291" s="155">
        <f t="shared" si="233"/>
        <v>25745</v>
      </c>
      <c r="O291" s="1180">
        <f t="shared" ref="O291:P291" si="234">+O285+O287+O288+O289+O290</f>
        <v>0</v>
      </c>
      <c r="P291" s="1180">
        <f t="shared" si="234"/>
        <v>0</v>
      </c>
      <c r="Q291" s="1616" t="str">
        <f t="shared" si="228"/>
        <v>-</v>
      </c>
      <c r="R291" s="179">
        <f t="shared" si="233"/>
        <v>28285</v>
      </c>
      <c r="S291" s="177">
        <f t="shared" si="233"/>
        <v>0</v>
      </c>
      <c r="T291" s="177">
        <f t="shared" si="233"/>
        <v>0</v>
      </c>
      <c r="U291" s="178">
        <f t="shared" si="233"/>
        <v>28285</v>
      </c>
      <c r="V291" s="156"/>
      <c r="W291" s="156"/>
    </row>
    <row r="292" spans="1:30" ht="12.75" thickBot="1">
      <c r="A292" s="180"/>
      <c r="B292" s="180"/>
      <c r="C292" s="180"/>
      <c r="D292" s="180"/>
      <c r="E292" s="180"/>
      <c r="F292" s="180"/>
      <c r="G292" s="180"/>
      <c r="H292" s="180"/>
      <c r="I292" s="180"/>
      <c r="J292" s="180"/>
      <c r="K292" s="814"/>
      <c r="L292" s="180"/>
      <c r="M292" s="180"/>
      <c r="N292" s="180"/>
      <c r="O292" s="180"/>
      <c r="P292" s="180"/>
      <c r="Q292" s="180"/>
      <c r="R292" s="180"/>
      <c r="S292" s="180"/>
      <c r="T292" s="180"/>
      <c r="U292" s="180"/>
      <c r="V292" s="180"/>
      <c r="W292" s="180"/>
    </row>
    <row r="293" spans="1:30" s="813" customFormat="1" ht="36.75" thickBot="1">
      <c r="A293" s="353" t="s">
        <v>440</v>
      </c>
      <c r="B293" s="354" t="s">
        <v>1314</v>
      </c>
      <c r="C293" s="1612" t="s">
        <v>1553</v>
      </c>
      <c r="D293" s="881" t="s">
        <v>1554</v>
      </c>
      <c r="E293" s="881" t="s">
        <v>2646</v>
      </c>
      <c r="F293" s="1613" t="s">
        <v>2645</v>
      </c>
      <c r="G293" s="335" t="s">
        <v>461</v>
      </c>
      <c r="H293" s="336" t="s">
        <v>462</v>
      </c>
      <c r="I293" s="336" t="s">
        <v>1313</v>
      </c>
      <c r="J293" s="1769" t="s">
        <v>18</v>
      </c>
      <c r="K293" s="816"/>
      <c r="L293" s="353" t="s">
        <v>440</v>
      </c>
      <c r="M293" s="354" t="s">
        <v>1314</v>
      </c>
      <c r="N293" s="1612" t="s">
        <v>1553</v>
      </c>
      <c r="O293" s="881" t="s">
        <v>1554</v>
      </c>
      <c r="P293" s="881" t="s">
        <v>2646</v>
      </c>
      <c r="Q293" s="1613" t="s">
        <v>2645</v>
      </c>
      <c r="R293" s="335" t="s">
        <v>461</v>
      </c>
      <c r="S293" s="336" t="s">
        <v>462</v>
      </c>
      <c r="T293" s="336" t="s">
        <v>1313</v>
      </c>
      <c r="U293" s="1769" t="s">
        <v>18</v>
      </c>
      <c r="V293" s="798"/>
      <c r="W293" s="798"/>
    </row>
    <row r="294" spans="1:30">
      <c r="A294" s="162" t="s">
        <v>446</v>
      </c>
      <c r="B294" s="163"/>
      <c r="C294" s="1174"/>
      <c r="D294" s="1175"/>
      <c r="E294" s="1175"/>
      <c r="F294" s="1614" t="str">
        <f t="shared" ref="F294:F302" si="235">IF(ISERROR(E294/D294),"-",E294/D294)</f>
        <v>-</v>
      </c>
      <c r="G294" s="164"/>
      <c r="H294" s="165"/>
      <c r="I294" s="165"/>
      <c r="J294" s="166">
        <f>+B294+IF(D294&lt;=E294,E294,D294)+G294+H294+I294</f>
        <v>0</v>
      </c>
      <c r="K294" s="814"/>
      <c r="L294" s="162" t="s">
        <v>446</v>
      </c>
      <c r="M294" s="163"/>
      <c r="N294" s="1174"/>
      <c r="O294" s="1175"/>
      <c r="P294" s="1175"/>
      <c r="Q294" s="1614" t="str">
        <f t="shared" ref="Q294:Q302" si="236">IF(ISERROR(P294/O294),"-",P294/O294)</f>
        <v>-</v>
      </c>
      <c r="R294" s="164"/>
      <c r="S294" s="165"/>
      <c r="T294" s="165"/>
      <c r="U294" s="166">
        <f>+M294+IF(O294&lt;=P294,P294,O294)+R294+S294+T294</f>
        <v>0</v>
      </c>
      <c r="V294" s="156"/>
      <c r="W294" s="156"/>
      <c r="X294" s="118"/>
      <c r="Y294" s="118"/>
      <c r="Z294" s="118"/>
      <c r="AA294" s="118"/>
      <c r="AB294" s="118"/>
      <c r="AC294" s="118"/>
      <c r="AD294" s="118"/>
    </row>
    <row r="295" spans="1:30">
      <c r="A295" s="181" t="s">
        <v>447</v>
      </c>
      <c r="B295" s="173"/>
      <c r="C295" s="182"/>
      <c r="D295" s="1178"/>
      <c r="E295" s="1178"/>
      <c r="F295" s="1615" t="str">
        <f t="shared" si="235"/>
        <v>-</v>
      </c>
      <c r="G295" s="174"/>
      <c r="H295" s="175"/>
      <c r="I295" s="175"/>
      <c r="J295" s="176">
        <f t="shared" ref="J295:J301" si="237">+B295+IF(D295&lt;=E295,E295,D295)+G295+H295+I295</f>
        <v>0</v>
      </c>
      <c r="K295" s="814"/>
      <c r="L295" s="181" t="s">
        <v>447</v>
      </c>
      <c r="M295" s="173"/>
      <c r="N295" s="182"/>
      <c r="O295" s="1178"/>
      <c r="P295" s="1178"/>
      <c r="Q295" s="1615" t="str">
        <f t="shared" si="236"/>
        <v>-</v>
      </c>
      <c r="R295" s="174"/>
      <c r="S295" s="175"/>
      <c r="T295" s="175"/>
      <c r="U295" s="176">
        <f t="shared" ref="U295:U301" si="238">+M295+IF(O295&lt;=P295,P295,O295)+R295+S295+T295</f>
        <v>0</v>
      </c>
      <c r="V295" s="156"/>
      <c r="W295" s="156"/>
      <c r="X295" s="118"/>
      <c r="Y295" s="118"/>
      <c r="Z295" s="118"/>
      <c r="AA295" s="118"/>
      <c r="AB295" s="118"/>
      <c r="AC295" s="118"/>
      <c r="AD295" s="118"/>
    </row>
    <row r="296" spans="1:30">
      <c r="A296" s="172" t="s">
        <v>448</v>
      </c>
      <c r="B296" s="173"/>
      <c r="C296" s="182"/>
      <c r="D296" s="1178">
        <v>16018</v>
      </c>
      <c r="E296" s="1178">
        <v>16018</v>
      </c>
      <c r="F296" s="1615">
        <f t="shared" si="235"/>
        <v>1</v>
      </c>
      <c r="G296" s="174"/>
      <c r="H296" s="175"/>
      <c r="I296" s="175"/>
      <c r="J296" s="176">
        <f t="shared" si="237"/>
        <v>16018</v>
      </c>
      <c r="K296" s="814"/>
      <c r="L296" s="172" t="s">
        <v>448</v>
      </c>
      <c r="M296" s="173"/>
      <c r="N296" s="182"/>
      <c r="O296" s="1178"/>
      <c r="P296" s="1178"/>
      <c r="Q296" s="1615" t="str">
        <f t="shared" si="236"/>
        <v>-</v>
      </c>
      <c r="R296" s="174"/>
      <c r="S296" s="175"/>
      <c r="T296" s="175"/>
      <c r="U296" s="176">
        <f t="shared" si="238"/>
        <v>0</v>
      </c>
      <c r="V296" s="156"/>
      <c r="W296" s="156"/>
      <c r="X296" s="118"/>
      <c r="Y296" s="118"/>
      <c r="Z296" s="118"/>
      <c r="AA296" s="118"/>
      <c r="AB296" s="118"/>
      <c r="AC296" s="118"/>
      <c r="AD296" s="118"/>
    </row>
    <row r="297" spans="1:30">
      <c r="A297" s="172" t="s">
        <v>449</v>
      </c>
      <c r="B297" s="173"/>
      <c r="C297" s="182"/>
      <c r="D297" s="1178"/>
      <c r="E297" s="1178"/>
      <c r="F297" s="1615" t="str">
        <f t="shared" si="235"/>
        <v>-</v>
      </c>
      <c r="G297" s="174"/>
      <c r="H297" s="175"/>
      <c r="I297" s="175"/>
      <c r="J297" s="176">
        <f t="shared" si="237"/>
        <v>0</v>
      </c>
      <c r="K297" s="814"/>
      <c r="L297" s="172" t="s">
        <v>449</v>
      </c>
      <c r="M297" s="173"/>
      <c r="N297" s="182"/>
      <c r="O297" s="1178"/>
      <c r="P297" s="1178"/>
      <c r="Q297" s="1615" t="str">
        <f t="shared" si="236"/>
        <v>-</v>
      </c>
      <c r="R297" s="174"/>
      <c r="S297" s="175"/>
      <c r="T297" s="175"/>
      <c r="U297" s="176">
        <f t="shared" si="238"/>
        <v>0</v>
      </c>
      <c r="V297" s="156"/>
      <c r="W297" s="156"/>
      <c r="X297" s="118"/>
      <c r="Z297" s="118"/>
      <c r="AA297" s="118"/>
      <c r="AB297" s="118"/>
      <c r="AD297" s="118"/>
    </row>
    <row r="298" spans="1:30">
      <c r="A298" s="182" t="s">
        <v>450</v>
      </c>
      <c r="B298" s="183"/>
      <c r="C298" s="182"/>
      <c r="D298" s="1178">
        <v>0</v>
      </c>
      <c r="E298" s="1178"/>
      <c r="F298" s="1615" t="str">
        <f t="shared" si="235"/>
        <v>-</v>
      </c>
      <c r="G298" s="174">
        <v>513982</v>
      </c>
      <c r="H298" s="175"/>
      <c r="I298" s="175"/>
      <c r="J298" s="176">
        <f t="shared" si="237"/>
        <v>513982</v>
      </c>
      <c r="K298" s="814"/>
      <c r="L298" s="182" t="s">
        <v>450</v>
      </c>
      <c r="M298" s="183"/>
      <c r="N298" s="182">
        <v>25745</v>
      </c>
      <c r="O298" s="1178">
        <v>0</v>
      </c>
      <c r="P298" s="1178"/>
      <c r="Q298" s="1615" t="str">
        <f t="shared" si="236"/>
        <v>-</v>
      </c>
      <c r="R298" s="174">
        <v>28285</v>
      </c>
      <c r="S298" s="175"/>
      <c r="T298" s="175"/>
      <c r="U298" s="176">
        <f t="shared" si="238"/>
        <v>28285</v>
      </c>
      <c r="V298" s="156"/>
      <c r="W298" s="156"/>
      <c r="X298" s="118"/>
      <c r="Y298" s="118"/>
      <c r="Z298" s="118"/>
      <c r="AA298" s="118"/>
      <c r="AB298" s="118"/>
      <c r="AC298" s="118"/>
      <c r="AD298" s="118"/>
    </row>
    <row r="299" spans="1:30">
      <c r="A299" s="182" t="s">
        <v>451</v>
      </c>
      <c r="B299" s="183"/>
      <c r="C299" s="182"/>
      <c r="D299" s="1178"/>
      <c r="E299" s="1178"/>
      <c r="F299" s="1615" t="str">
        <f t="shared" si="235"/>
        <v>-</v>
      </c>
      <c r="G299" s="174"/>
      <c r="H299" s="175"/>
      <c r="I299" s="175"/>
      <c r="J299" s="176">
        <f t="shared" si="237"/>
        <v>0</v>
      </c>
      <c r="K299" s="814"/>
      <c r="L299" s="182" t="s">
        <v>451</v>
      </c>
      <c r="M299" s="183"/>
      <c r="N299" s="182"/>
      <c r="O299" s="1178"/>
      <c r="P299" s="1178"/>
      <c r="Q299" s="1615" t="str">
        <f t="shared" si="236"/>
        <v>-</v>
      </c>
      <c r="R299" s="174"/>
      <c r="S299" s="175"/>
      <c r="T299" s="175"/>
      <c r="U299" s="176">
        <f t="shared" si="238"/>
        <v>0</v>
      </c>
      <c r="V299" s="156"/>
      <c r="W299" s="156"/>
      <c r="X299" s="118"/>
      <c r="Y299" s="118"/>
      <c r="Z299" s="118"/>
      <c r="AA299" s="118"/>
      <c r="AB299" s="118"/>
      <c r="AC299" s="118"/>
      <c r="AD299" s="118"/>
    </row>
    <row r="300" spans="1:30">
      <c r="A300" s="184" t="s">
        <v>452</v>
      </c>
      <c r="B300" s="185"/>
      <c r="C300" s="184"/>
      <c r="D300" s="1181"/>
      <c r="E300" s="1181"/>
      <c r="F300" s="1617" t="str">
        <f t="shared" si="235"/>
        <v>-</v>
      </c>
      <c r="G300" s="186"/>
      <c r="H300" s="187"/>
      <c r="I300" s="187"/>
      <c r="J300" s="176">
        <f t="shared" si="237"/>
        <v>0</v>
      </c>
      <c r="K300" s="814"/>
      <c r="L300" s="184" t="s">
        <v>452</v>
      </c>
      <c r="M300" s="185"/>
      <c r="N300" s="184"/>
      <c r="O300" s="1181"/>
      <c r="P300" s="1181"/>
      <c r="Q300" s="1617" t="str">
        <f t="shared" si="236"/>
        <v>-</v>
      </c>
      <c r="R300" s="174"/>
      <c r="S300" s="187"/>
      <c r="T300" s="187"/>
      <c r="U300" s="176">
        <f t="shared" si="238"/>
        <v>0</v>
      </c>
      <c r="V300" s="156"/>
      <c r="W300" s="156"/>
      <c r="X300" s="118"/>
      <c r="Y300" s="118"/>
      <c r="Z300" s="118"/>
      <c r="AA300" s="118"/>
      <c r="AB300" s="118"/>
      <c r="AC300" s="118"/>
      <c r="AD300" s="118"/>
    </row>
    <row r="301" spans="1:30" ht="12.75" thickBot="1">
      <c r="A301" s="184" t="s">
        <v>453</v>
      </c>
      <c r="B301" s="185"/>
      <c r="C301" s="184"/>
      <c r="D301" s="1181"/>
      <c r="E301" s="1181"/>
      <c r="F301" s="1617" t="str">
        <f t="shared" si="235"/>
        <v>-</v>
      </c>
      <c r="G301" s="186"/>
      <c r="H301" s="187"/>
      <c r="I301" s="187"/>
      <c r="J301" s="176">
        <f t="shared" si="237"/>
        <v>0</v>
      </c>
      <c r="K301" s="814"/>
      <c r="L301" s="184" t="s">
        <v>453</v>
      </c>
      <c r="M301" s="185"/>
      <c r="N301" s="184"/>
      <c r="O301" s="1181"/>
      <c r="P301" s="1181"/>
      <c r="Q301" s="1617" t="str">
        <f t="shared" si="236"/>
        <v>-</v>
      </c>
      <c r="R301" s="186"/>
      <c r="S301" s="187"/>
      <c r="T301" s="187"/>
      <c r="U301" s="176">
        <f t="shared" si="238"/>
        <v>0</v>
      </c>
      <c r="V301" s="156"/>
      <c r="W301" s="156"/>
      <c r="X301" s="118"/>
      <c r="Y301" s="118"/>
      <c r="Z301" s="118"/>
      <c r="AA301" s="118"/>
      <c r="AB301" s="118"/>
      <c r="AC301" s="118"/>
      <c r="AD301" s="118"/>
    </row>
    <row r="302" spans="1:30" ht="12.75" thickBot="1">
      <c r="A302" s="155" t="s">
        <v>454</v>
      </c>
      <c r="B302" s="177">
        <f t="shared" ref="B302:J302" si="239">+B294+B295+B296+B297+B298+B299+B300+B301</f>
        <v>0</v>
      </c>
      <c r="C302" s="155">
        <f t="shared" si="239"/>
        <v>0</v>
      </c>
      <c r="D302" s="1180">
        <f t="shared" ref="D302:E302" si="240">+D294+D295+D296+D297+D298+D299+D300+D301</f>
        <v>16018</v>
      </c>
      <c r="E302" s="1180">
        <f t="shared" si="240"/>
        <v>16018</v>
      </c>
      <c r="F302" s="1616">
        <f t="shared" si="235"/>
        <v>1</v>
      </c>
      <c r="G302" s="179">
        <f t="shared" si="239"/>
        <v>513982</v>
      </c>
      <c r="H302" s="177">
        <f t="shared" si="239"/>
        <v>0</v>
      </c>
      <c r="I302" s="177">
        <f t="shared" si="239"/>
        <v>0</v>
      </c>
      <c r="J302" s="178">
        <f t="shared" si="239"/>
        <v>530000</v>
      </c>
      <c r="L302" s="155" t="s">
        <v>454</v>
      </c>
      <c r="M302" s="177">
        <f t="shared" ref="M302:U302" si="241">+M294+M295+M296+M297+M298+M299+M300+M301</f>
        <v>0</v>
      </c>
      <c r="N302" s="155">
        <f t="shared" si="241"/>
        <v>25745</v>
      </c>
      <c r="O302" s="1180">
        <f t="shared" ref="O302:P302" si="242">+O294+O295+O296+O297+O298+O299+O300+O301</f>
        <v>0</v>
      </c>
      <c r="P302" s="1180">
        <f t="shared" si="242"/>
        <v>0</v>
      </c>
      <c r="Q302" s="1616" t="str">
        <f t="shared" si="236"/>
        <v>-</v>
      </c>
      <c r="R302" s="179">
        <f t="shared" si="241"/>
        <v>28285</v>
      </c>
      <c r="S302" s="177">
        <f t="shared" si="241"/>
        <v>0</v>
      </c>
      <c r="T302" s="177">
        <f t="shared" si="241"/>
        <v>0</v>
      </c>
      <c r="U302" s="178">
        <f t="shared" si="241"/>
        <v>28285</v>
      </c>
      <c r="V302" s="156"/>
      <c r="W302" s="156"/>
      <c r="Y302" s="814"/>
      <c r="AC302" s="814"/>
    </row>
    <row r="303" spans="1:30">
      <c r="A303" s="156"/>
      <c r="B303" s="156"/>
      <c r="C303" s="156"/>
      <c r="D303" s="156"/>
      <c r="E303" s="156"/>
      <c r="F303" s="156"/>
      <c r="G303" s="156"/>
      <c r="H303" s="156"/>
      <c r="I303" s="156"/>
      <c r="J303" s="156"/>
      <c r="K303" s="814"/>
      <c r="L303" s="156"/>
      <c r="M303" s="156"/>
      <c r="N303" s="156"/>
      <c r="O303" s="156"/>
      <c r="P303" s="156"/>
      <c r="Q303" s="156"/>
      <c r="R303" s="156"/>
      <c r="S303" s="156"/>
      <c r="T303" s="156"/>
      <c r="U303" s="156"/>
      <c r="V303" s="156"/>
      <c r="W303" s="156"/>
    </row>
    <row r="305" spans="1:30" s="807" customFormat="1" ht="15.75">
      <c r="A305" s="154" t="s">
        <v>1516</v>
      </c>
      <c r="B305" s="1821" t="s">
        <v>1548</v>
      </c>
      <c r="C305" s="1821"/>
      <c r="D305" s="1821"/>
      <c r="E305" s="1821"/>
      <c r="F305" s="1821"/>
      <c r="G305" s="1821"/>
      <c r="H305" s="1821"/>
      <c r="I305" s="1821"/>
      <c r="J305" s="1821"/>
      <c r="K305" s="719"/>
      <c r="L305" s="154" t="s">
        <v>1517</v>
      </c>
      <c r="M305" s="1822" t="s">
        <v>2749</v>
      </c>
      <c r="N305" s="1822"/>
      <c r="O305" s="1822"/>
      <c r="P305" s="1822"/>
      <c r="Q305" s="1821"/>
      <c r="R305" s="1821"/>
      <c r="S305" s="1821"/>
      <c r="T305" s="1821"/>
      <c r="U305" s="1821"/>
      <c r="V305" s="1767"/>
      <c r="W305" s="1767"/>
    </row>
    <row r="306" spans="1:30" s="807" customFormat="1" ht="15.75" customHeight="1">
      <c r="A306" s="1819" t="s">
        <v>1547</v>
      </c>
      <c r="B306" s="1819"/>
      <c r="C306" s="1819"/>
      <c r="D306" s="1819"/>
      <c r="E306" s="1819"/>
      <c r="F306" s="1819"/>
      <c r="G306" s="1819"/>
      <c r="H306" s="1819"/>
      <c r="I306" s="1819"/>
      <c r="J306" s="1819"/>
      <c r="K306" s="719"/>
      <c r="L306" s="1819" t="s">
        <v>2750</v>
      </c>
      <c r="M306" s="1819"/>
      <c r="N306" s="1819"/>
      <c r="O306" s="1819"/>
      <c r="P306" s="1819"/>
      <c r="Q306" s="1819"/>
      <c r="R306" s="1819"/>
      <c r="S306" s="1819"/>
      <c r="T306" s="1819"/>
      <c r="U306" s="1819"/>
      <c r="V306" s="1766"/>
      <c r="W306" s="1766"/>
    </row>
    <row r="307" spans="1:30" s="807" customFormat="1" ht="15.75">
      <c r="A307" s="1818" t="s">
        <v>1120</v>
      </c>
      <c r="B307" s="1818"/>
      <c r="C307" s="1818"/>
      <c r="D307" s="1818"/>
      <c r="E307" s="1818"/>
      <c r="F307" s="1818"/>
      <c r="G307" s="1818"/>
      <c r="H307" s="1818"/>
      <c r="I307" s="1818"/>
      <c r="J307" s="1818"/>
      <c r="K307" s="719"/>
      <c r="L307" s="1818" t="s">
        <v>1120</v>
      </c>
      <c r="M307" s="1818"/>
      <c r="N307" s="1818"/>
      <c r="O307" s="1818"/>
      <c r="P307" s="1818"/>
      <c r="Q307" s="1818"/>
      <c r="R307" s="1818"/>
      <c r="S307" s="1818"/>
      <c r="T307" s="1818"/>
      <c r="U307" s="1818"/>
      <c r="V307" s="1765"/>
      <c r="W307" s="1765"/>
    </row>
    <row r="308" spans="1:30" s="810" customFormat="1" ht="12.75" thickBot="1">
      <c r="A308" s="809"/>
      <c r="B308" s="809"/>
      <c r="G308" s="809"/>
      <c r="H308" s="809"/>
      <c r="J308" s="199" t="s">
        <v>281</v>
      </c>
      <c r="K308" s="811"/>
      <c r="L308" s="809"/>
      <c r="M308" s="809"/>
      <c r="R308" s="809"/>
      <c r="S308" s="809"/>
      <c r="U308" s="199" t="s">
        <v>281</v>
      </c>
      <c r="V308" s="797"/>
      <c r="W308" s="797"/>
    </row>
    <row r="309" spans="1:30" s="813" customFormat="1" ht="36.75" thickBot="1">
      <c r="A309" s="353" t="s">
        <v>432</v>
      </c>
      <c r="B309" s="354" t="s">
        <v>1314</v>
      </c>
      <c r="C309" s="1612" t="s">
        <v>1553</v>
      </c>
      <c r="D309" s="881" t="s">
        <v>1554</v>
      </c>
      <c r="E309" s="881" t="s">
        <v>2646</v>
      </c>
      <c r="F309" s="1613" t="s">
        <v>2645</v>
      </c>
      <c r="G309" s="335" t="s">
        <v>461</v>
      </c>
      <c r="H309" s="336" t="s">
        <v>462</v>
      </c>
      <c r="I309" s="336" t="s">
        <v>1313</v>
      </c>
      <c r="J309" s="1769" t="s">
        <v>18</v>
      </c>
      <c r="K309" s="816"/>
      <c r="L309" s="353" t="s">
        <v>432</v>
      </c>
      <c r="M309" s="354" t="s">
        <v>1314</v>
      </c>
      <c r="N309" s="1612" t="s">
        <v>1553</v>
      </c>
      <c r="O309" s="881" t="s">
        <v>1554</v>
      </c>
      <c r="P309" s="881" t="s">
        <v>2646</v>
      </c>
      <c r="Q309" s="1613" t="s">
        <v>2645</v>
      </c>
      <c r="R309" s="335" t="s">
        <v>461</v>
      </c>
      <c r="S309" s="336" t="s">
        <v>462</v>
      </c>
      <c r="T309" s="336" t="s">
        <v>1313</v>
      </c>
      <c r="U309" s="1769" t="s">
        <v>18</v>
      </c>
      <c r="V309" s="798"/>
      <c r="W309" s="798"/>
    </row>
    <row r="310" spans="1:30">
      <c r="A310" s="162" t="s">
        <v>433</v>
      </c>
      <c r="B310" s="163">
        <f t="shared" ref="B310:J310" si="243">+B327-B315-B314-B313-B312</f>
        <v>-51183</v>
      </c>
      <c r="C310" s="1174">
        <f t="shared" si="243"/>
        <v>51650</v>
      </c>
      <c r="D310" s="1175">
        <f t="shared" ref="D310:E310" si="244">+D327-D315-D314-D313-D312</f>
        <v>29475</v>
      </c>
      <c r="E310" s="1175">
        <f t="shared" si="244"/>
        <v>29475</v>
      </c>
      <c r="F310" s="1614">
        <f t="shared" ref="F310:F316" si="245">IF(ISERROR(E310/D310),"-",E310/D310)</f>
        <v>1</v>
      </c>
      <c r="G310" s="164">
        <f t="shared" si="243"/>
        <v>21708</v>
      </c>
      <c r="H310" s="165">
        <f t="shared" si="243"/>
        <v>0</v>
      </c>
      <c r="I310" s="165">
        <f t="shared" si="243"/>
        <v>0</v>
      </c>
      <c r="J310" s="166">
        <f t="shared" si="243"/>
        <v>0</v>
      </c>
      <c r="K310" s="814"/>
      <c r="L310" s="162" t="s">
        <v>433</v>
      </c>
      <c r="M310" s="163">
        <f t="shared" ref="M310:U310" si="246">+M327-M315-M314-M313-M312</f>
        <v>0</v>
      </c>
      <c r="N310" s="1174">
        <f t="shared" si="246"/>
        <v>0</v>
      </c>
      <c r="O310" s="1175">
        <f t="shared" ref="O310:P310" si="247">+O327-O315-O314-O313-O312</f>
        <v>-2825</v>
      </c>
      <c r="P310" s="1175">
        <f t="shared" si="247"/>
        <v>-2825</v>
      </c>
      <c r="Q310" s="1614">
        <f t="shared" ref="Q310:Q316" si="248">IF(ISERROR(P310/O310),"-",P310/O310)</f>
        <v>1</v>
      </c>
      <c r="R310" s="164">
        <f t="shared" si="246"/>
        <v>2825</v>
      </c>
      <c r="S310" s="165">
        <f t="shared" si="246"/>
        <v>0</v>
      </c>
      <c r="T310" s="165">
        <f t="shared" si="246"/>
        <v>0</v>
      </c>
      <c r="U310" s="166">
        <f t="shared" si="246"/>
        <v>0</v>
      </c>
      <c r="W310" s="156">
        <f>+B310+M310+M135++B135+M110+B110+M85+B85+M60+B60+M35+B35+M10+B10+B160+M160+B185+M185+B210+M210+B235+M235+B260+M260+B285+M285</f>
        <v>-2668140</v>
      </c>
      <c r="X310" s="156"/>
      <c r="AB310" s="156"/>
    </row>
    <row r="311" spans="1:30">
      <c r="A311" s="167" t="s">
        <v>434</v>
      </c>
      <c r="B311" s="168"/>
      <c r="C311" s="1176"/>
      <c r="D311" s="1177"/>
      <c r="E311" s="1177"/>
      <c r="F311" s="1615" t="str">
        <f t="shared" si="245"/>
        <v>-</v>
      </c>
      <c r="G311" s="169"/>
      <c r="H311" s="170"/>
      <c r="I311" s="170"/>
      <c r="J311" s="171">
        <f>+B311+IF(D311&lt;=E311,E311,D311)+G311+H311+I311</f>
        <v>0</v>
      </c>
      <c r="K311" s="814"/>
      <c r="L311" s="167" t="s">
        <v>434</v>
      </c>
      <c r="M311" s="168"/>
      <c r="N311" s="1176"/>
      <c r="O311" s="1177"/>
      <c r="P311" s="1177"/>
      <c r="Q311" s="1615" t="str">
        <f t="shared" si="248"/>
        <v>-</v>
      </c>
      <c r="R311" s="169"/>
      <c r="S311" s="170"/>
      <c r="T311" s="170"/>
      <c r="U311" s="171">
        <f>+M311+IF(O311&lt;=P311,P311,O311)+R311+S311+T311</f>
        <v>0</v>
      </c>
      <c r="V311" s="799"/>
      <c r="W311" s="799"/>
      <c r="X311" s="118">
        <f>+D11+D36+O11+O36+D61+O61+D86+O86+D111+O111+D136+O136+D311+O311+D161+O161+D186+O186+D211+O211+D236+O236+D261+O261+D286+O286</f>
        <v>0</v>
      </c>
      <c r="AB311" s="118">
        <f>+E11+E36+P11+P36+E61+P61+E86+P86+E111+P111+E136+P136+E311+P311+E161+P161+E186+P186+E211+P211+E236+P236+E261+P261+E286+P286</f>
        <v>0</v>
      </c>
    </row>
    <row r="312" spans="1:30">
      <c r="A312" s="172" t="s">
        <v>435</v>
      </c>
      <c r="B312" s="173">
        <v>80175</v>
      </c>
      <c r="C312" s="182"/>
      <c r="D312" s="1178">
        <v>2893</v>
      </c>
      <c r="E312" s="1178">
        <v>2893</v>
      </c>
      <c r="F312" s="1615">
        <f t="shared" si="245"/>
        <v>1</v>
      </c>
      <c r="G312" s="174"/>
      <c r="H312" s="175"/>
      <c r="I312" s="175"/>
      <c r="J312" s="176">
        <f t="shared" ref="J312:J315" si="249">+B312+IF(D312&lt;=E312,E312,D312)+G312+H312+I312</f>
        <v>83068</v>
      </c>
      <c r="K312" s="814"/>
      <c r="L312" s="172" t="s">
        <v>435</v>
      </c>
      <c r="M312" s="173"/>
      <c r="N312" s="182"/>
      <c r="O312" s="1178">
        <v>3073</v>
      </c>
      <c r="P312" s="1178">
        <v>3073</v>
      </c>
      <c r="Q312" s="1615">
        <f t="shared" si="248"/>
        <v>1</v>
      </c>
      <c r="R312" s="174"/>
      <c r="S312" s="175"/>
      <c r="T312" s="175"/>
      <c r="U312" s="176">
        <f t="shared" ref="U312:U315" si="250">+M312+IF(O312&lt;=P312,P312,O312)+R312+S312+T312</f>
        <v>3073</v>
      </c>
      <c r="V312" s="156"/>
      <c r="W312" s="156"/>
      <c r="X312" s="118">
        <f>+D12+D37+O12+O37+D62+O62+D87+O87+D112+O112+D137+O137+D312+O312+D162+O162+D187+O187+D212+O212+D237+O237+D262+O262+D287+O287</f>
        <v>1200219</v>
      </c>
      <c r="Y312" s="865">
        <f>+'1.mell._Össz_Mérleg2019'!D24+'1.mell._Össz_Mérleg2019'!D57</f>
        <v>1200219</v>
      </c>
      <c r="Z312" s="118">
        <f>+X312-Y312</f>
        <v>0</v>
      </c>
      <c r="AA312" s="118"/>
      <c r="AB312" s="118">
        <f>+E12+E37+P12+P37+E62+P62+E87+P87+E112+P112+E137+P137+E312+P312+E162+P162+E187+P187+E212+P212+E237+P237+E262+P262+E287+P287</f>
        <v>1200219</v>
      </c>
      <c r="AC312" s="865">
        <f>+'1.mell._Össz_Mérleg2019'!E24+'1.mell._Össz_Mérleg2019'!E57</f>
        <v>1200219</v>
      </c>
      <c r="AD312" s="118">
        <f>+AB312-AC312</f>
        <v>0</v>
      </c>
    </row>
    <row r="313" spans="1:30">
      <c r="A313" s="172" t="s">
        <v>436</v>
      </c>
      <c r="B313" s="173"/>
      <c r="C313" s="182"/>
      <c r="D313" s="1178"/>
      <c r="E313" s="1178"/>
      <c r="F313" s="1615" t="str">
        <f t="shared" si="245"/>
        <v>-</v>
      </c>
      <c r="G313" s="174"/>
      <c r="H313" s="175"/>
      <c r="I313" s="175"/>
      <c r="J313" s="176">
        <f t="shared" si="249"/>
        <v>0</v>
      </c>
      <c r="K313" s="814"/>
      <c r="L313" s="172" t="s">
        <v>436</v>
      </c>
      <c r="M313" s="173"/>
      <c r="N313" s="182"/>
      <c r="O313" s="1178"/>
      <c r="P313" s="1178"/>
      <c r="Q313" s="1615" t="str">
        <f t="shared" si="248"/>
        <v>-</v>
      </c>
      <c r="R313" s="174"/>
      <c r="S313" s="175"/>
      <c r="T313" s="175"/>
      <c r="U313" s="176">
        <f t="shared" si="250"/>
        <v>0</v>
      </c>
      <c r="V313" s="156"/>
      <c r="W313" s="156"/>
      <c r="X313" s="118">
        <f>+D13+D38+O13+O38+D63+O63+D88+O88+D113+O113+D138+O138+D313+O313+D163+O163+D188+O188+D213+O213+D238+O238+D263+O263+D288+O288</f>
        <v>0</v>
      </c>
      <c r="AB313" s="118">
        <f>+E13+E38+P13+P38+E63+P63+E88+P88+E113+P113+E138+P138+E313+P313+E163+P163+E188+P188+E213+P213+E238+P238+E263+P263+E288+P288</f>
        <v>0</v>
      </c>
    </row>
    <row r="314" spans="1:30">
      <c r="A314" s="172" t="s">
        <v>437</v>
      </c>
      <c r="B314" s="173"/>
      <c r="C314" s="182"/>
      <c r="D314" s="1178"/>
      <c r="E314" s="1178"/>
      <c r="F314" s="1615" t="str">
        <f t="shared" si="245"/>
        <v>-</v>
      </c>
      <c r="G314" s="174"/>
      <c r="H314" s="175"/>
      <c r="I314" s="175"/>
      <c r="J314" s="176">
        <f t="shared" si="249"/>
        <v>0</v>
      </c>
      <c r="K314" s="814"/>
      <c r="L314" s="172" t="s">
        <v>437</v>
      </c>
      <c r="M314" s="173"/>
      <c r="N314" s="182"/>
      <c r="O314" s="1178"/>
      <c r="P314" s="1178"/>
      <c r="Q314" s="1615" t="str">
        <f t="shared" si="248"/>
        <v>-</v>
      </c>
      <c r="R314" s="174"/>
      <c r="S314" s="175"/>
      <c r="T314" s="175"/>
      <c r="U314" s="176">
        <f t="shared" si="250"/>
        <v>0</v>
      </c>
      <c r="V314" s="156"/>
      <c r="W314" s="156"/>
      <c r="X314" s="118">
        <f>+D14+D39+O14+O39+D64+O64+D89+O89+D114+O114+D139+O139+D314+O314+D164+O164+D189+O189+D214+O214+D239+O239+D264+O264+D289+O289</f>
        <v>0</v>
      </c>
      <c r="AB314" s="118">
        <f>+E14+E39+P14+P39+E64+P64+E89+P89+E114+P114+E139+P139+E314+P314+E164+P164+E189+P189+E214+P214+E239+P239+E264+P264+E289+P289</f>
        <v>0</v>
      </c>
    </row>
    <row r="315" spans="1:30" ht="12.75" thickBot="1">
      <c r="A315" s="172" t="s">
        <v>438</v>
      </c>
      <c r="B315" s="173"/>
      <c r="C315" s="182"/>
      <c r="D315" s="1178"/>
      <c r="E315" s="1178"/>
      <c r="F315" s="1615" t="str">
        <f t="shared" si="245"/>
        <v>-</v>
      </c>
      <c r="G315" s="174"/>
      <c r="H315" s="175"/>
      <c r="I315" s="175"/>
      <c r="J315" s="176">
        <f t="shared" si="249"/>
        <v>0</v>
      </c>
      <c r="K315" s="814"/>
      <c r="L315" s="172" t="s">
        <v>438</v>
      </c>
      <c r="M315" s="173"/>
      <c r="N315" s="182"/>
      <c r="O315" s="1178"/>
      <c r="P315" s="1178"/>
      <c r="Q315" s="1615" t="str">
        <f t="shared" si="248"/>
        <v>-</v>
      </c>
      <c r="R315" s="174"/>
      <c r="S315" s="175"/>
      <c r="T315" s="175"/>
      <c r="U315" s="176">
        <f t="shared" si="250"/>
        <v>0</v>
      </c>
      <c r="V315" s="156"/>
      <c r="W315" s="156"/>
      <c r="X315" s="118">
        <f>+D15+D40+O15+O40+D65+O65+D90+O90+D115+O115+D140+O140+D315+O315+D165+O165+D190+O190+D215+O215+D240+O240+D265+O265+D290+O290</f>
        <v>0</v>
      </c>
      <c r="AB315" s="118">
        <f>+E15+E40+P15+P40+E65+P65+E90+P90+E115+P115+E140+P140+E315+P315+E165+P165+E190+P190+E215+P215+E240+P240+E265+P265+E290+P290</f>
        <v>0</v>
      </c>
    </row>
    <row r="316" spans="1:30" ht="12.75" thickBot="1">
      <c r="A316" s="155" t="s">
        <v>439</v>
      </c>
      <c r="B316" s="177">
        <f t="shared" ref="B316:J316" si="251">+B310+B312+B313+B314+B315</f>
        <v>28992</v>
      </c>
      <c r="C316" s="155">
        <f t="shared" si="251"/>
        <v>51650</v>
      </c>
      <c r="D316" s="1180">
        <f t="shared" ref="D316:E316" si="252">+D310+D312+D313+D314+D315</f>
        <v>32368</v>
      </c>
      <c r="E316" s="1180">
        <f t="shared" si="252"/>
        <v>32368</v>
      </c>
      <c r="F316" s="1616">
        <f t="shared" si="245"/>
        <v>1</v>
      </c>
      <c r="G316" s="179">
        <f t="shared" si="251"/>
        <v>21708</v>
      </c>
      <c r="H316" s="177">
        <f t="shared" si="251"/>
        <v>0</v>
      </c>
      <c r="I316" s="177">
        <f t="shared" si="251"/>
        <v>0</v>
      </c>
      <c r="J316" s="178">
        <f t="shared" si="251"/>
        <v>83068</v>
      </c>
      <c r="K316" s="814"/>
      <c r="L316" s="155" t="s">
        <v>439</v>
      </c>
      <c r="M316" s="177">
        <f t="shared" ref="M316:U316" si="253">+M310+M312+M313+M314+M315</f>
        <v>0</v>
      </c>
      <c r="N316" s="155">
        <f t="shared" si="253"/>
        <v>0</v>
      </c>
      <c r="O316" s="1180">
        <f t="shared" ref="O316:P316" si="254">+O310+O312+O313+O314+O315</f>
        <v>248</v>
      </c>
      <c r="P316" s="1180">
        <f t="shared" si="254"/>
        <v>248</v>
      </c>
      <c r="Q316" s="1616">
        <f t="shared" si="248"/>
        <v>1</v>
      </c>
      <c r="R316" s="179">
        <f t="shared" si="253"/>
        <v>2825</v>
      </c>
      <c r="S316" s="177">
        <f t="shared" si="253"/>
        <v>0</v>
      </c>
      <c r="T316" s="177">
        <f t="shared" si="253"/>
        <v>0</v>
      </c>
      <c r="U316" s="178">
        <f t="shared" si="253"/>
        <v>3073</v>
      </c>
      <c r="V316" s="156"/>
      <c r="W316" s="156"/>
    </row>
    <row r="317" spans="1:30" ht="12.75" thickBot="1">
      <c r="A317" s="180"/>
      <c r="B317" s="180"/>
      <c r="C317" s="180"/>
      <c r="D317" s="180"/>
      <c r="E317" s="180"/>
      <c r="F317" s="180"/>
      <c r="G317" s="180"/>
      <c r="H317" s="180"/>
      <c r="I317" s="180"/>
      <c r="J317" s="180"/>
      <c r="K317" s="814"/>
      <c r="L317" s="180"/>
      <c r="M317" s="180"/>
      <c r="N317" s="180"/>
      <c r="O317" s="180"/>
      <c r="P317" s="180"/>
      <c r="Q317" s="180"/>
      <c r="R317" s="180"/>
      <c r="S317" s="180"/>
      <c r="T317" s="180"/>
      <c r="U317" s="180"/>
      <c r="V317" s="180"/>
      <c r="W317" s="180"/>
      <c r="X317" s="118"/>
      <c r="AB317" s="118"/>
    </row>
    <row r="318" spans="1:30" s="813" customFormat="1" ht="36.75" thickBot="1">
      <c r="A318" s="353" t="s">
        <v>440</v>
      </c>
      <c r="B318" s="354" t="s">
        <v>1314</v>
      </c>
      <c r="C318" s="1612" t="s">
        <v>1553</v>
      </c>
      <c r="D318" s="881" t="s">
        <v>1554</v>
      </c>
      <c r="E318" s="881" t="s">
        <v>2646</v>
      </c>
      <c r="F318" s="1613" t="s">
        <v>2645</v>
      </c>
      <c r="G318" s="335" t="s">
        <v>461</v>
      </c>
      <c r="H318" s="336" t="s">
        <v>462</v>
      </c>
      <c r="I318" s="336" t="s">
        <v>1313</v>
      </c>
      <c r="J318" s="1769" t="s">
        <v>18</v>
      </c>
      <c r="K318" s="816"/>
      <c r="L318" s="353" t="s">
        <v>440</v>
      </c>
      <c r="M318" s="354" t="s">
        <v>1314</v>
      </c>
      <c r="N318" s="1612" t="s">
        <v>1553</v>
      </c>
      <c r="O318" s="881" t="s">
        <v>1554</v>
      </c>
      <c r="P318" s="881" t="s">
        <v>2646</v>
      </c>
      <c r="Q318" s="1613" t="s">
        <v>2645</v>
      </c>
      <c r="R318" s="335" t="s">
        <v>461</v>
      </c>
      <c r="S318" s="336" t="s">
        <v>462</v>
      </c>
      <c r="T318" s="336" t="s">
        <v>1313</v>
      </c>
      <c r="U318" s="1769" t="s">
        <v>18</v>
      </c>
      <c r="V318" s="798"/>
      <c r="W318" s="798"/>
    </row>
    <row r="319" spans="1:30">
      <c r="A319" s="162" t="s">
        <v>446</v>
      </c>
      <c r="B319" s="163">
        <v>12648</v>
      </c>
      <c r="C319" s="1174"/>
      <c r="D319" s="1175">
        <v>18037</v>
      </c>
      <c r="E319" s="1175">
        <v>18037</v>
      </c>
      <c r="F319" s="1614">
        <f t="shared" ref="F319:F327" si="255">IF(ISERROR(E319/D319),"-",E319/D319)</f>
        <v>1</v>
      </c>
      <c r="G319" s="164"/>
      <c r="H319" s="165"/>
      <c r="I319" s="165"/>
      <c r="J319" s="166">
        <f>+B319+IF(D319&lt;=E319,E319,D319)+G319+H319+I319</f>
        <v>30685</v>
      </c>
      <c r="K319" s="814"/>
      <c r="L319" s="162" t="s">
        <v>446</v>
      </c>
      <c r="M319" s="163"/>
      <c r="N319" s="1174"/>
      <c r="O319" s="1175"/>
      <c r="P319" s="1175"/>
      <c r="Q319" s="1614" t="str">
        <f t="shared" ref="Q319:Q327" si="256">IF(ISERROR(P319/O319),"-",P319/O319)</f>
        <v>-</v>
      </c>
      <c r="R319" s="164"/>
      <c r="S319" s="165"/>
      <c r="T319" s="165"/>
      <c r="U319" s="166">
        <f>+M319+IF(O319&lt;=P319,P319,O319)+R319+S319+T319</f>
        <v>0</v>
      </c>
      <c r="V319" s="156"/>
      <c r="W319" s="156"/>
      <c r="X319" s="118">
        <f t="shared" ref="X319:X326" si="257">+D19+D44+O19+O44+D69+O69+D94+O94+D119+O119+D144+O144+D319+O319+D169+O169+D194+O194+D219+O219+D244+O244+D269+O269+D294+O294</f>
        <v>150406</v>
      </c>
      <c r="Y319" s="118">
        <f>+'1.mell._Össz_Mérleg2019'!D111</f>
        <v>150406</v>
      </c>
      <c r="Z319" s="118">
        <f t="shared" ref="Z319:Z326" si="258">+X319-Y319</f>
        <v>0</v>
      </c>
      <c r="AA319" s="118"/>
      <c r="AB319" s="118">
        <f t="shared" ref="AB319:AB326" si="259">+E19+E44+P19+P44+E69+P69+E94+P94+E119+P119+E144+P144+E319+P319+E169+P169+E194+P194+E219+P219+E244+P244+E269+P269+E294+P294</f>
        <v>150406</v>
      </c>
      <c r="AC319" s="118">
        <f>+'1.mell._Össz_Mérleg2019'!E111</f>
        <v>150406</v>
      </c>
      <c r="AD319" s="118">
        <f t="shared" ref="AD319:AD326" si="260">+AB319-AC319</f>
        <v>0</v>
      </c>
    </row>
    <row r="320" spans="1:30">
      <c r="A320" s="181" t="s">
        <v>447</v>
      </c>
      <c r="B320" s="173">
        <v>2380</v>
      </c>
      <c r="C320" s="182"/>
      <c r="D320" s="1178">
        <v>3049</v>
      </c>
      <c r="E320" s="1178">
        <v>3049</v>
      </c>
      <c r="F320" s="1615">
        <f t="shared" si="255"/>
        <v>1</v>
      </c>
      <c r="G320" s="174"/>
      <c r="H320" s="175"/>
      <c r="I320" s="175"/>
      <c r="J320" s="176">
        <f t="shared" ref="J320:J326" si="261">+B320+IF(D320&lt;=E320,E320,D320)+G320+H320+I320</f>
        <v>5429</v>
      </c>
      <c r="K320" s="814"/>
      <c r="L320" s="181" t="s">
        <v>447</v>
      </c>
      <c r="M320" s="173"/>
      <c r="N320" s="182"/>
      <c r="O320" s="1178"/>
      <c r="P320" s="1178"/>
      <c r="Q320" s="1615" t="str">
        <f t="shared" si="256"/>
        <v>-</v>
      </c>
      <c r="R320" s="174"/>
      <c r="S320" s="175"/>
      <c r="T320" s="175"/>
      <c r="U320" s="176">
        <f t="shared" ref="U320:U326" si="262">+M320+IF(O320&lt;=P320,P320,O320)+R320+S320+T320</f>
        <v>0</v>
      </c>
      <c r="V320" s="156"/>
      <c r="W320" s="156"/>
      <c r="X320" s="118">
        <f t="shared" si="257"/>
        <v>26165</v>
      </c>
      <c r="Y320" s="118">
        <f>+'1.mell._Össz_Mérleg2019'!D115</f>
        <v>26165</v>
      </c>
      <c r="Z320" s="118">
        <f t="shared" si="258"/>
        <v>0</v>
      </c>
      <c r="AA320" s="118"/>
      <c r="AB320" s="118">
        <f t="shared" si="259"/>
        <v>26165</v>
      </c>
      <c r="AC320" s="118">
        <f>+'1.mell._Össz_Mérleg2019'!E115</f>
        <v>26165</v>
      </c>
      <c r="AD320" s="118">
        <f t="shared" si="260"/>
        <v>0</v>
      </c>
    </row>
    <row r="321" spans="1:32">
      <c r="A321" s="172" t="s">
        <v>448</v>
      </c>
      <c r="B321" s="173">
        <v>962</v>
      </c>
      <c r="C321" s="182"/>
      <c r="D321" s="1178">
        <v>11282</v>
      </c>
      <c r="E321" s="1178">
        <v>11282</v>
      </c>
      <c r="F321" s="1615">
        <f t="shared" si="255"/>
        <v>1</v>
      </c>
      <c r="G321" s="174"/>
      <c r="H321" s="175"/>
      <c r="I321" s="175"/>
      <c r="J321" s="176">
        <f t="shared" si="261"/>
        <v>12244</v>
      </c>
      <c r="K321" s="814"/>
      <c r="L321" s="172" t="s">
        <v>448</v>
      </c>
      <c r="M321" s="173"/>
      <c r="N321" s="182"/>
      <c r="O321" s="1178">
        <v>248</v>
      </c>
      <c r="P321" s="1178">
        <v>248</v>
      </c>
      <c r="Q321" s="1615">
        <f t="shared" si="256"/>
        <v>1</v>
      </c>
      <c r="R321" s="174"/>
      <c r="S321" s="175"/>
      <c r="T321" s="175"/>
      <c r="U321" s="176">
        <f t="shared" si="262"/>
        <v>248</v>
      </c>
      <c r="V321" s="156"/>
      <c r="W321" s="156"/>
      <c r="X321" s="118">
        <f t="shared" si="257"/>
        <v>272137</v>
      </c>
      <c r="Y321" s="118">
        <f>+'1.mell._Össz_Mérleg2019'!D117</f>
        <v>272137</v>
      </c>
      <c r="Z321" s="118">
        <f t="shared" si="258"/>
        <v>0</v>
      </c>
      <c r="AA321" s="118"/>
      <c r="AB321" s="118">
        <f t="shared" si="259"/>
        <v>272137</v>
      </c>
      <c r="AC321" s="118">
        <f>+'1.mell._Össz_Mérleg2019'!E117</f>
        <v>272137</v>
      </c>
      <c r="AD321" s="118">
        <f t="shared" si="260"/>
        <v>0</v>
      </c>
    </row>
    <row r="322" spans="1:32">
      <c r="A322" s="172" t="s">
        <v>449</v>
      </c>
      <c r="B322" s="173"/>
      <c r="C322" s="182"/>
      <c r="D322" s="1178"/>
      <c r="E322" s="1178"/>
      <c r="F322" s="1615" t="str">
        <f t="shared" si="255"/>
        <v>-</v>
      </c>
      <c r="G322" s="174"/>
      <c r="H322" s="175"/>
      <c r="I322" s="175"/>
      <c r="J322" s="176">
        <f t="shared" si="261"/>
        <v>0</v>
      </c>
      <c r="K322" s="814"/>
      <c r="L322" s="172" t="s">
        <v>449</v>
      </c>
      <c r="M322" s="173"/>
      <c r="N322" s="182"/>
      <c r="O322" s="1178"/>
      <c r="P322" s="1178"/>
      <c r="Q322" s="1615" t="str">
        <f t="shared" si="256"/>
        <v>-</v>
      </c>
      <c r="R322" s="174"/>
      <c r="S322" s="175"/>
      <c r="T322" s="175"/>
      <c r="U322" s="176">
        <f t="shared" si="262"/>
        <v>0</v>
      </c>
      <c r="V322" s="156"/>
      <c r="W322" s="156"/>
      <c r="X322" s="118">
        <f t="shared" si="257"/>
        <v>0</v>
      </c>
      <c r="Z322" s="118">
        <f t="shared" si="258"/>
        <v>0</v>
      </c>
      <c r="AA322" s="118"/>
      <c r="AB322" s="118">
        <f t="shared" si="259"/>
        <v>0</v>
      </c>
      <c r="AD322" s="118">
        <f t="shared" si="260"/>
        <v>0</v>
      </c>
    </row>
    <row r="323" spans="1:32">
      <c r="A323" s="182" t="s">
        <v>450</v>
      </c>
      <c r="B323" s="183"/>
      <c r="C323" s="182">
        <v>51650</v>
      </c>
      <c r="D323" s="1178">
        <v>0</v>
      </c>
      <c r="E323" s="1178"/>
      <c r="F323" s="1615" t="str">
        <f t="shared" si="255"/>
        <v>-</v>
      </c>
      <c r="G323" s="174">
        <v>21708</v>
      </c>
      <c r="H323" s="175"/>
      <c r="I323" s="175"/>
      <c r="J323" s="176">
        <f t="shared" si="261"/>
        <v>21708</v>
      </c>
      <c r="K323" s="814"/>
      <c r="L323" s="182" t="s">
        <v>450</v>
      </c>
      <c r="M323" s="183"/>
      <c r="N323" s="182"/>
      <c r="O323" s="1178"/>
      <c r="P323" s="1178"/>
      <c r="Q323" s="1615" t="str">
        <f t="shared" si="256"/>
        <v>-</v>
      </c>
      <c r="R323" s="174">
        <v>2825</v>
      </c>
      <c r="S323" s="175"/>
      <c r="T323" s="175"/>
      <c r="U323" s="176">
        <f t="shared" si="262"/>
        <v>2825</v>
      </c>
      <c r="V323" s="156"/>
      <c r="W323" s="156"/>
      <c r="X323" s="118">
        <f t="shared" si="257"/>
        <v>8300</v>
      </c>
      <c r="Y323" s="118">
        <f>+'1.mell._Össz_Mérleg2019'!D139</f>
        <v>8300</v>
      </c>
      <c r="Z323" s="118">
        <f t="shared" si="258"/>
        <v>0</v>
      </c>
      <c r="AA323" s="118"/>
      <c r="AB323" s="118">
        <f t="shared" si="259"/>
        <v>8300</v>
      </c>
      <c r="AC323" s="118">
        <f>+'1.mell._Össz_Mérleg2019'!E139</f>
        <v>8300</v>
      </c>
      <c r="AD323" s="118">
        <f t="shared" si="260"/>
        <v>0</v>
      </c>
      <c r="AF323" s="118">
        <f>+G23+G48+R23+R48+G73+R73+G98+R98+G123+R123+G148+R148+G323+R323+G173+R173+G198+R198+G223+R223+G248+R248+G273+R273+G298+R298</f>
        <v>2565480</v>
      </c>
    </row>
    <row r="324" spans="1:32">
      <c r="A324" s="182" t="s">
        <v>451</v>
      </c>
      <c r="B324" s="183">
        <v>13002</v>
      </c>
      <c r="C324" s="182"/>
      <c r="D324" s="1178"/>
      <c r="E324" s="1178"/>
      <c r="F324" s="1615" t="str">
        <f t="shared" si="255"/>
        <v>-</v>
      </c>
      <c r="G324" s="174"/>
      <c r="H324" s="175"/>
      <c r="I324" s="175"/>
      <c r="J324" s="176">
        <f t="shared" si="261"/>
        <v>13002</v>
      </c>
      <c r="K324" s="814"/>
      <c r="L324" s="182" t="s">
        <v>451</v>
      </c>
      <c r="M324" s="183"/>
      <c r="N324" s="182"/>
      <c r="O324" s="1178"/>
      <c r="P324" s="1178"/>
      <c r="Q324" s="1615" t="str">
        <f t="shared" si="256"/>
        <v>-</v>
      </c>
      <c r="R324" s="174"/>
      <c r="S324" s="175"/>
      <c r="T324" s="175"/>
      <c r="U324" s="176">
        <f t="shared" si="262"/>
        <v>0</v>
      </c>
      <c r="X324" s="118">
        <f t="shared" si="257"/>
        <v>687310</v>
      </c>
      <c r="Y324" s="118">
        <f>+'1.mell._Össz_Mérleg2019'!D151</f>
        <v>687310</v>
      </c>
      <c r="Z324" s="118">
        <f t="shared" si="258"/>
        <v>0</v>
      </c>
      <c r="AA324" s="118"/>
      <c r="AB324" s="118">
        <f t="shared" si="259"/>
        <v>687310</v>
      </c>
      <c r="AC324" s="118">
        <f>+'1.mell._Össz_Mérleg2019'!E151</f>
        <v>687310</v>
      </c>
      <c r="AD324" s="118">
        <f t="shared" si="260"/>
        <v>0</v>
      </c>
    </row>
    <row r="325" spans="1:32">
      <c r="A325" s="184" t="s">
        <v>452</v>
      </c>
      <c r="B325" s="185"/>
      <c r="C325" s="184"/>
      <c r="D325" s="1181"/>
      <c r="E325" s="1181"/>
      <c r="F325" s="1617" t="str">
        <f t="shared" si="255"/>
        <v>-</v>
      </c>
      <c r="G325" s="186"/>
      <c r="H325" s="187"/>
      <c r="I325" s="187"/>
      <c r="J325" s="176">
        <f t="shared" si="261"/>
        <v>0</v>
      </c>
      <c r="K325" s="814"/>
      <c r="L325" s="184" t="s">
        <v>452</v>
      </c>
      <c r="M325" s="185"/>
      <c r="N325" s="184"/>
      <c r="O325" s="1181"/>
      <c r="P325" s="1181"/>
      <c r="Q325" s="1617" t="str">
        <f t="shared" si="256"/>
        <v>-</v>
      </c>
      <c r="R325" s="186"/>
      <c r="S325" s="187"/>
      <c r="T325" s="187"/>
      <c r="U325" s="176">
        <f t="shared" si="262"/>
        <v>0</v>
      </c>
      <c r="V325" s="156"/>
      <c r="W325" s="156"/>
      <c r="X325" s="118">
        <f t="shared" si="257"/>
        <v>187057</v>
      </c>
      <c r="Y325" s="118">
        <f>+'1.mell._Össz_Mérleg2019'!D160</f>
        <v>187057</v>
      </c>
      <c r="Z325" s="118">
        <f t="shared" si="258"/>
        <v>0</v>
      </c>
      <c r="AA325" s="118"/>
      <c r="AB325" s="118">
        <f t="shared" si="259"/>
        <v>187057</v>
      </c>
      <c r="AC325" s="118">
        <f>+'1.mell._Össz_Mérleg2019'!E160</f>
        <v>187057</v>
      </c>
      <c r="AD325" s="118">
        <f t="shared" si="260"/>
        <v>0</v>
      </c>
    </row>
    <row r="326" spans="1:32" ht="12.75" thickBot="1">
      <c r="A326" s="184" t="s">
        <v>453</v>
      </c>
      <c r="B326" s="185"/>
      <c r="C326" s="184"/>
      <c r="D326" s="1181"/>
      <c r="E326" s="1181"/>
      <c r="F326" s="1617" t="str">
        <f t="shared" si="255"/>
        <v>-</v>
      </c>
      <c r="G326" s="186"/>
      <c r="H326" s="187"/>
      <c r="I326" s="187"/>
      <c r="J326" s="176">
        <f t="shared" si="261"/>
        <v>0</v>
      </c>
      <c r="K326" s="814"/>
      <c r="L326" s="184" t="s">
        <v>453</v>
      </c>
      <c r="M326" s="185"/>
      <c r="N326" s="184"/>
      <c r="O326" s="1181"/>
      <c r="P326" s="1181"/>
      <c r="Q326" s="1617" t="str">
        <f t="shared" si="256"/>
        <v>-</v>
      </c>
      <c r="R326" s="186"/>
      <c r="S326" s="187"/>
      <c r="T326" s="187"/>
      <c r="U326" s="176">
        <f t="shared" si="262"/>
        <v>0</v>
      </c>
      <c r="V326" s="156"/>
      <c r="W326" s="156"/>
      <c r="X326" s="118">
        <f t="shared" si="257"/>
        <v>0</v>
      </c>
      <c r="Y326" s="118">
        <f>+'1.mell._Össz_Mérleg2019'!D170</f>
        <v>0</v>
      </c>
      <c r="Z326" s="118">
        <f t="shared" si="258"/>
        <v>0</v>
      </c>
      <c r="AA326" s="118"/>
      <c r="AB326" s="118">
        <f t="shared" si="259"/>
        <v>0</v>
      </c>
      <c r="AC326" s="118">
        <f>+'1.mell._Össz_Mérleg2019'!E170</f>
        <v>0</v>
      </c>
      <c r="AD326" s="118">
        <f t="shared" si="260"/>
        <v>0</v>
      </c>
    </row>
    <row r="327" spans="1:32" ht="12.75" thickBot="1">
      <c r="A327" s="155" t="s">
        <v>454</v>
      </c>
      <c r="B327" s="177">
        <f t="shared" ref="B327:J327" si="263">+B319+B320+B321+B322+B323+B324+B325+B326</f>
        <v>28992</v>
      </c>
      <c r="C327" s="155">
        <f t="shared" si="263"/>
        <v>51650</v>
      </c>
      <c r="D327" s="1180">
        <f t="shared" ref="D327:E327" si="264">+D319+D320+D321+D322+D323+D324+D325+D326</f>
        <v>32368</v>
      </c>
      <c r="E327" s="1180">
        <f t="shared" si="264"/>
        <v>32368</v>
      </c>
      <c r="F327" s="1616">
        <f t="shared" si="255"/>
        <v>1</v>
      </c>
      <c r="G327" s="179">
        <f t="shared" si="263"/>
        <v>21708</v>
      </c>
      <c r="H327" s="177">
        <f t="shared" si="263"/>
        <v>0</v>
      </c>
      <c r="I327" s="177">
        <f t="shared" si="263"/>
        <v>0</v>
      </c>
      <c r="J327" s="178">
        <f t="shared" si="263"/>
        <v>83068</v>
      </c>
      <c r="L327" s="155" t="s">
        <v>454</v>
      </c>
      <c r="M327" s="177">
        <f t="shared" ref="M327:U327" si="265">+M319+M320+M321+M322+M323+M324+M325+M326</f>
        <v>0</v>
      </c>
      <c r="N327" s="155">
        <f t="shared" si="265"/>
        <v>0</v>
      </c>
      <c r="O327" s="1180">
        <f t="shared" ref="O327:P327" si="266">+O319+O320+O321+O322+O323+O324+O325+O326</f>
        <v>248</v>
      </c>
      <c r="P327" s="1180">
        <f t="shared" si="266"/>
        <v>248</v>
      </c>
      <c r="Q327" s="1616">
        <f t="shared" si="256"/>
        <v>1</v>
      </c>
      <c r="R327" s="179">
        <f t="shared" si="265"/>
        <v>2825</v>
      </c>
      <c r="S327" s="177">
        <f t="shared" si="265"/>
        <v>0</v>
      </c>
      <c r="T327" s="177">
        <f t="shared" si="265"/>
        <v>0</v>
      </c>
      <c r="U327" s="178">
        <f t="shared" si="265"/>
        <v>3073</v>
      </c>
      <c r="V327" s="156"/>
      <c r="W327" s="156"/>
      <c r="X327" s="118"/>
      <c r="Y327" s="814"/>
      <c r="AB327" s="118"/>
      <c r="AC327" s="814"/>
    </row>
    <row r="328" spans="1:32">
      <c r="A328" s="156"/>
      <c r="B328" s="156"/>
      <c r="C328" s="156"/>
      <c r="D328" s="156"/>
      <c r="E328" s="156"/>
      <c r="F328" s="156"/>
      <c r="G328" s="156"/>
      <c r="H328" s="156"/>
      <c r="I328" s="156"/>
      <c r="J328" s="156"/>
      <c r="K328" s="814"/>
      <c r="L328" s="156"/>
      <c r="M328" s="156"/>
      <c r="N328" s="156"/>
      <c r="O328" s="156"/>
      <c r="P328" s="156"/>
      <c r="Q328" s="156"/>
      <c r="R328" s="156"/>
      <c r="S328" s="156"/>
      <c r="T328" s="156"/>
      <c r="U328" s="156"/>
      <c r="V328" s="156"/>
      <c r="W328" s="156"/>
    </row>
    <row r="330" spans="1:32" s="807" customFormat="1" ht="15.75">
      <c r="A330" s="1820" t="s">
        <v>2657</v>
      </c>
      <c r="B330" s="1820"/>
      <c r="C330" s="1820"/>
      <c r="D330" s="1820"/>
      <c r="E330" s="1820"/>
      <c r="F330" s="1820"/>
      <c r="G330" s="1820"/>
      <c r="H330" s="1820"/>
      <c r="I330" s="1820"/>
      <c r="J330" s="1820"/>
      <c r="K330" s="720"/>
      <c r="L330" s="157"/>
      <c r="M330" s="157"/>
      <c r="N330" s="540"/>
      <c r="O330" s="540"/>
      <c r="P330" s="540"/>
      <c r="Q330" s="540"/>
      <c r="R330" s="540"/>
      <c r="S330" s="540"/>
      <c r="T330" s="540"/>
      <c r="U330" s="540"/>
      <c r="V330" s="540"/>
      <c r="W330" s="540"/>
    </row>
    <row r="331" spans="1:32" s="810" customFormat="1" ht="12.75" thickBot="1">
      <c r="A331" s="809"/>
      <c r="B331" s="809"/>
      <c r="C331" s="809"/>
      <c r="D331" s="809"/>
      <c r="E331" s="809"/>
      <c r="F331" s="809"/>
      <c r="G331" s="809"/>
      <c r="H331" s="809"/>
      <c r="J331" s="199" t="s">
        <v>281</v>
      </c>
      <c r="K331" s="811"/>
      <c r="L331" s="809"/>
      <c r="M331" s="809"/>
      <c r="N331" s="809"/>
      <c r="O331" s="809"/>
      <c r="P331" s="809"/>
      <c r="Q331" s="809"/>
      <c r="R331" s="809"/>
      <c r="S331" s="809"/>
      <c r="T331" s="809"/>
      <c r="U331" s="809"/>
      <c r="V331" s="809"/>
      <c r="W331" s="809"/>
    </row>
    <row r="332" spans="1:32" s="819" customFormat="1" ht="36.75" thickBot="1">
      <c r="A332" s="264" t="s">
        <v>440</v>
      </c>
      <c r="B332" s="1770" t="s">
        <v>1314</v>
      </c>
      <c r="C332" s="1612" t="s">
        <v>1553</v>
      </c>
      <c r="D332" s="881" t="s">
        <v>1554</v>
      </c>
      <c r="E332" s="881" t="s">
        <v>2646</v>
      </c>
      <c r="F332" s="1613" t="s">
        <v>2645</v>
      </c>
      <c r="G332" s="805" t="s">
        <v>461</v>
      </c>
      <c r="H332" s="806" t="s">
        <v>462</v>
      </c>
      <c r="I332" s="806" t="s">
        <v>1313</v>
      </c>
      <c r="J332" s="760" t="s">
        <v>18</v>
      </c>
      <c r="K332" s="818"/>
      <c r="L332" s="542"/>
      <c r="M332" s="542"/>
      <c r="N332" s="542"/>
      <c r="O332" s="542"/>
      <c r="P332" s="542"/>
      <c r="Q332" s="542"/>
      <c r="R332" s="542"/>
      <c r="S332" s="542"/>
      <c r="T332" s="542"/>
      <c r="U332" s="542"/>
      <c r="V332" s="542"/>
      <c r="W332" s="542"/>
    </row>
    <row r="333" spans="1:32">
      <c r="A333" s="800" t="s">
        <v>19</v>
      </c>
      <c r="B333" s="801"/>
      <c r="C333" s="1182"/>
      <c r="D333" s="1183"/>
      <c r="E333" s="1619"/>
      <c r="F333" s="1618">
        <f t="shared" ref="F333:F334" si="267">+D333+E333</f>
        <v>0</v>
      </c>
      <c r="G333" s="802"/>
      <c r="H333" s="803"/>
      <c r="I333" s="804"/>
      <c r="J333" s="435">
        <f>+B333+IF(D333&lt;=E333,E333,D333)+G333+H333+I333</f>
        <v>0</v>
      </c>
      <c r="K333" s="814"/>
      <c r="L333" s="820"/>
      <c r="M333" s="820"/>
      <c r="N333" s="820"/>
      <c r="O333" s="820"/>
      <c r="P333" s="820"/>
      <c r="Q333" s="820"/>
      <c r="R333" s="820"/>
      <c r="S333" s="820"/>
      <c r="T333" s="820"/>
      <c r="U333" s="820"/>
      <c r="V333" s="820"/>
      <c r="W333" s="820"/>
    </row>
    <row r="334" spans="1:32" ht="12.75" thickBot="1">
      <c r="A334" s="188"/>
      <c r="B334" s="189"/>
      <c r="C334" s="190"/>
      <c r="D334" s="191"/>
      <c r="E334" s="1178"/>
      <c r="F334" s="1179">
        <f t="shared" si="267"/>
        <v>0</v>
      </c>
      <c r="G334" s="190"/>
      <c r="H334" s="191"/>
      <c r="I334" s="192"/>
      <c r="J334" s="193"/>
      <c r="K334" s="814"/>
      <c r="L334" s="820"/>
      <c r="M334" s="820"/>
      <c r="N334" s="820"/>
      <c r="O334" s="820"/>
      <c r="P334" s="820"/>
      <c r="Q334" s="820"/>
      <c r="R334" s="820"/>
      <c r="S334" s="820"/>
      <c r="T334" s="820"/>
      <c r="U334" s="820"/>
      <c r="V334" s="820"/>
      <c r="W334" s="820"/>
    </row>
    <row r="335" spans="1:32" ht="12.75" thickBot="1">
      <c r="A335" s="158" t="s">
        <v>441</v>
      </c>
      <c r="B335" s="194">
        <f>+B333+B334</f>
        <v>0</v>
      </c>
      <c r="C335" s="195">
        <f t="shared" ref="C335" si="268">+C333+C334</f>
        <v>0</v>
      </c>
      <c r="D335" s="196">
        <f t="shared" ref="D335:F335" si="269">+D333+D334</f>
        <v>0</v>
      </c>
      <c r="E335" s="196">
        <f t="shared" si="269"/>
        <v>0</v>
      </c>
      <c r="F335" s="194">
        <f t="shared" si="269"/>
        <v>0</v>
      </c>
      <c r="G335" s="195">
        <f t="shared" ref="G335:J335" si="270">+G333+G334</f>
        <v>0</v>
      </c>
      <c r="H335" s="196">
        <f t="shared" si="270"/>
        <v>0</v>
      </c>
      <c r="I335" s="197">
        <f t="shared" si="270"/>
        <v>0</v>
      </c>
      <c r="J335" s="198">
        <f t="shared" si="270"/>
        <v>0</v>
      </c>
    </row>
    <row r="337" spans="1:10">
      <c r="A337" s="160"/>
      <c r="B337" s="820"/>
      <c r="C337" s="820"/>
      <c r="D337" s="820"/>
      <c r="E337" s="820"/>
      <c r="F337" s="820"/>
      <c r="G337" s="820"/>
      <c r="H337" s="820"/>
      <c r="I337" s="820"/>
      <c r="J337" s="820"/>
    </row>
  </sheetData>
  <mergeCells count="66">
    <mergeCell ref="A7:J7"/>
    <mergeCell ref="L7:U7"/>
    <mergeCell ref="A3:U3"/>
    <mergeCell ref="B5:J5"/>
    <mergeCell ref="M5:U5"/>
    <mergeCell ref="A6:J6"/>
    <mergeCell ref="L6:U6"/>
    <mergeCell ref="B30:J30"/>
    <mergeCell ref="M30:U30"/>
    <mergeCell ref="A31:J31"/>
    <mergeCell ref="L31:U31"/>
    <mergeCell ref="A32:J32"/>
    <mergeCell ref="L32:U32"/>
    <mergeCell ref="B55:J55"/>
    <mergeCell ref="M55:U55"/>
    <mergeCell ref="A56:J56"/>
    <mergeCell ref="L56:U56"/>
    <mergeCell ref="A57:J57"/>
    <mergeCell ref="L57:U57"/>
    <mergeCell ref="A106:J106"/>
    <mergeCell ref="L106:U106"/>
    <mergeCell ref="A107:J107"/>
    <mergeCell ref="L107:U107"/>
    <mergeCell ref="B80:J80"/>
    <mergeCell ref="M80:U80"/>
    <mergeCell ref="A81:J81"/>
    <mergeCell ref="L81:U81"/>
    <mergeCell ref="A82:J82"/>
    <mergeCell ref="L82:U82"/>
    <mergeCell ref="B130:J130"/>
    <mergeCell ref="M130:U130"/>
    <mergeCell ref="A131:J131"/>
    <mergeCell ref="L131:U131"/>
    <mergeCell ref="A132:J132"/>
    <mergeCell ref="L132:U132"/>
    <mergeCell ref="A330:J330"/>
    <mergeCell ref="B305:J305"/>
    <mergeCell ref="M305:U305"/>
    <mergeCell ref="A306:J306"/>
    <mergeCell ref="L306:U306"/>
    <mergeCell ref="A307:J307"/>
    <mergeCell ref="L307:U307"/>
    <mergeCell ref="A181:J181"/>
    <mergeCell ref="L181:U181"/>
    <mergeCell ref="A182:J182"/>
    <mergeCell ref="L182:U182"/>
    <mergeCell ref="A156:J156"/>
    <mergeCell ref="L156:U156"/>
    <mergeCell ref="A157:J157"/>
    <mergeCell ref="L157:U157"/>
    <mergeCell ref="A282:J282"/>
    <mergeCell ref="L282:U282"/>
    <mergeCell ref="A206:J206"/>
    <mergeCell ref="L206:U206"/>
    <mergeCell ref="A207:J207"/>
    <mergeCell ref="L207:U207"/>
    <mergeCell ref="A256:J256"/>
    <mergeCell ref="L256:U256"/>
    <mergeCell ref="A257:J257"/>
    <mergeCell ref="L257:U257"/>
    <mergeCell ref="A231:J231"/>
    <mergeCell ref="L231:U231"/>
    <mergeCell ref="A232:J232"/>
    <mergeCell ref="L232:U232"/>
    <mergeCell ref="A281:J281"/>
    <mergeCell ref="L281:U281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2" fitToHeight="2" orientation="landscape" r:id="rId1"/>
  <headerFooter>
    <oddHeader xml:space="preserve">&amp;C4. melléklet - &amp;P. oldal </oddHeader>
  </headerFooter>
  <rowBreaks count="4" manualBreakCount="4">
    <brk id="79" max="20" man="1"/>
    <brk id="154" max="14" man="1"/>
    <brk id="229" max="14" man="1"/>
    <brk id="30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8">
    <tabColor rgb="FF00B0F0"/>
    <pageSetUpPr fitToPage="1"/>
  </sheetPr>
  <dimension ref="A1:Y53"/>
  <sheetViews>
    <sheetView zoomScaleNormal="100" workbookViewId="0"/>
  </sheetViews>
  <sheetFormatPr defaultRowHeight="12"/>
  <cols>
    <col min="1" max="1" width="5" style="148" customWidth="1"/>
    <col min="2" max="2" width="42.5703125" style="148" bestFit="1" customWidth="1"/>
    <col min="3" max="5" width="9.5703125" style="148" customWidth="1"/>
    <col min="6" max="6" width="9.5703125" style="1621" customWidth="1"/>
    <col min="7" max="24" width="7.28515625" style="148" bestFit="1" customWidth="1"/>
    <col min="25" max="25" width="10.28515625" style="148" customWidth="1"/>
    <col min="26" max="16384" width="9.140625" style="148"/>
  </cols>
  <sheetData>
    <row r="1" spans="1:25" s="149" customFormat="1" ht="15.75">
      <c r="A1" s="142"/>
      <c r="B1" s="142"/>
      <c r="C1" s="142"/>
      <c r="D1" s="142"/>
      <c r="E1" s="142"/>
      <c r="F1" s="1620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53" t="s">
        <v>456</v>
      </c>
    </row>
    <row r="2" spans="1:25" s="149" customFormat="1" ht="15.75">
      <c r="A2" s="142"/>
      <c r="B2" s="142"/>
      <c r="C2" s="142"/>
      <c r="D2" s="142"/>
      <c r="E2" s="142"/>
      <c r="F2" s="1620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53"/>
    </row>
    <row r="3" spans="1:25" s="149" customFormat="1" ht="15.75">
      <c r="A3" s="1841" t="s">
        <v>457</v>
      </c>
      <c r="B3" s="1841"/>
      <c r="C3" s="1841"/>
      <c r="D3" s="1841"/>
      <c r="E3" s="1841"/>
      <c r="F3" s="1841"/>
      <c r="G3" s="1841"/>
      <c r="H3" s="1841"/>
      <c r="I3" s="1841"/>
      <c r="J3" s="1841"/>
      <c r="K3" s="1841"/>
      <c r="L3" s="1841"/>
      <c r="M3" s="1841"/>
      <c r="N3" s="1841"/>
      <c r="O3" s="1841"/>
      <c r="P3" s="1841"/>
      <c r="Q3" s="1841"/>
      <c r="R3" s="1841"/>
      <c r="S3" s="1841"/>
      <c r="T3" s="1841"/>
      <c r="U3" s="1841"/>
      <c r="V3" s="1841"/>
      <c r="W3" s="1841"/>
      <c r="X3" s="1841"/>
      <c r="Y3" s="1841"/>
    </row>
    <row r="4" spans="1:25" ht="12.75" thickBot="1">
      <c r="A4" s="143"/>
      <c r="B4" s="143"/>
      <c r="C4" s="143"/>
      <c r="D4" s="143"/>
      <c r="E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203" t="s">
        <v>49</v>
      </c>
    </row>
    <row r="5" spans="1:25" ht="14.25" thickBot="1">
      <c r="A5" s="1842" t="s">
        <v>17</v>
      </c>
      <c r="B5" s="1844" t="s">
        <v>7</v>
      </c>
      <c r="C5" s="1848" t="s">
        <v>478</v>
      </c>
      <c r="D5" s="1849"/>
      <c r="E5" s="1849"/>
      <c r="F5" s="1849"/>
      <c r="G5" s="1849"/>
      <c r="H5" s="1849"/>
      <c r="I5" s="1849"/>
      <c r="J5" s="1849"/>
      <c r="K5" s="1849"/>
      <c r="L5" s="1849"/>
      <c r="M5" s="1849"/>
      <c r="N5" s="1849"/>
      <c r="O5" s="1849"/>
      <c r="P5" s="1849"/>
      <c r="Q5" s="1849"/>
      <c r="R5" s="1849"/>
      <c r="S5" s="1849"/>
      <c r="T5" s="1849"/>
      <c r="U5" s="1849"/>
      <c r="V5" s="1849"/>
      <c r="W5" s="1849"/>
      <c r="X5" s="1850"/>
      <c r="Y5" s="1846" t="s">
        <v>18</v>
      </c>
    </row>
    <row r="6" spans="1:25" ht="36.75" thickBot="1">
      <c r="A6" s="1843"/>
      <c r="B6" s="1845"/>
      <c r="C6" s="1101" t="s">
        <v>1553</v>
      </c>
      <c r="D6" s="6" t="s">
        <v>1554</v>
      </c>
      <c r="E6" s="6" t="s">
        <v>2646</v>
      </c>
      <c r="F6" s="1549" t="s">
        <v>2645</v>
      </c>
      <c r="G6" s="202" t="s">
        <v>461</v>
      </c>
      <c r="H6" s="202" t="s">
        <v>462</v>
      </c>
      <c r="I6" s="202" t="s">
        <v>463</v>
      </c>
      <c r="J6" s="202" t="s">
        <v>464</v>
      </c>
      <c r="K6" s="202" t="s">
        <v>465</v>
      </c>
      <c r="L6" s="202" t="s">
        <v>466</v>
      </c>
      <c r="M6" s="202" t="s">
        <v>986</v>
      </c>
      <c r="N6" s="202" t="s">
        <v>1115</v>
      </c>
      <c r="O6" s="202" t="s">
        <v>1147</v>
      </c>
      <c r="P6" s="202" t="s">
        <v>1148</v>
      </c>
      <c r="Q6" s="202" t="s">
        <v>1149</v>
      </c>
      <c r="R6" s="202" t="s">
        <v>1150</v>
      </c>
      <c r="S6" s="202" t="s">
        <v>1151</v>
      </c>
      <c r="T6" s="202" t="s">
        <v>1152</v>
      </c>
      <c r="U6" s="202" t="s">
        <v>1153</v>
      </c>
      <c r="V6" s="202" t="s">
        <v>1154</v>
      </c>
      <c r="W6" s="202" t="s">
        <v>1155</v>
      </c>
      <c r="X6" s="202" t="s">
        <v>1156</v>
      </c>
      <c r="Y6" s="1847"/>
    </row>
    <row r="7" spans="1:25" ht="13.5" customHeight="1" thickBot="1">
      <c r="A7" s="201">
        <v>1</v>
      </c>
      <c r="B7" s="200">
        <v>2</v>
      </c>
      <c r="C7" s="1838">
        <v>3</v>
      </c>
      <c r="D7" s="1839"/>
      <c r="E7" s="1839"/>
      <c r="F7" s="1840"/>
      <c r="G7" s="204">
        <v>4</v>
      </c>
      <c r="H7" s="204">
        <v>5</v>
      </c>
      <c r="I7" s="204">
        <v>6</v>
      </c>
      <c r="J7" s="204">
        <v>7</v>
      </c>
      <c r="K7" s="204">
        <v>8</v>
      </c>
      <c r="L7" s="204">
        <v>10</v>
      </c>
      <c r="M7" s="204">
        <v>11</v>
      </c>
      <c r="N7" s="204">
        <v>12</v>
      </c>
      <c r="O7" s="204">
        <v>13</v>
      </c>
      <c r="P7" s="204">
        <v>14</v>
      </c>
      <c r="Q7" s="204">
        <v>15</v>
      </c>
      <c r="R7" s="204">
        <v>16</v>
      </c>
      <c r="S7" s="204">
        <v>17</v>
      </c>
      <c r="T7" s="204">
        <v>18</v>
      </c>
      <c r="U7" s="204">
        <v>19</v>
      </c>
      <c r="V7" s="204">
        <v>20</v>
      </c>
      <c r="W7" s="204">
        <v>21</v>
      </c>
      <c r="X7" s="204">
        <v>22</v>
      </c>
      <c r="Y7" s="205" t="s">
        <v>1189</v>
      </c>
    </row>
    <row r="8" spans="1:25">
      <c r="A8" s="237" t="s">
        <v>4</v>
      </c>
      <c r="B8" s="761" t="s">
        <v>971</v>
      </c>
      <c r="C8" s="1184">
        <v>342120</v>
      </c>
      <c r="D8" s="1190">
        <v>501490</v>
      </c>
      <c r="E8" s="1190">
        <v>362891</v>
      </c>
      <c r="F8" s="1622">
        <f t="shared" ref="F8:F37" si="0">IF(ISERROR(E8/D8),"-",E8/D8)</f>
        <v>0.72362559572474028</v>
      </c>
      <c r="G8" s="989">
        <f>+ROUND(C8*1.043,0)</f>
        <v>356831</v>
      </c>
      <c r="H8" s="989">
        <f>+ROUND(G8*1.041,0)</f>
        <v>371461</v>
      </c>
      <c r="I8" s="989">
        <f>+ROUND(H8*1.039,0)</f>
        <v>385948</v>
      </c>
      <c r="J8" s="207">
        <f t="shared" ref="J8:X13" si="1">+I8</f>
        <v>385948</v>
      </c>
      <c r="K8" s="207">
        <f t="shared" ref="K8:L13" si="2">+J8</f>
        <v>385948</v>
      </c>
      <c r="L8" s="207">
        <f t="shared" si="2"/>
        <v>385948</v>
      </c>
      <c r="M8" s="207">
        <f t="shared" si="1"/>
        <v>385948</v>
      </c>
      <c r="N8" s="207">
        <f t="shared" si="1"/>
        <v>385948</v>
      </c>
      <c r="O8" s="207">
        <f t="shared" si="1"/>
        <v>385948</v>
      </c>
      <c r="P8" s="207">
        <f t="shared" si="1"/>
        <v>385948</v>
      </c>
      <c r="Q8" s="207">
        <f t="shared" si="1"/>
        <v>385948</v>
      </c>
      <c r="R8" s="207">
        <f t="shared" si="1"/>
        <v>385948</v>
      </c>
      <c r="S8" s="207">
        <f t="shared" si="1"/>
        <v>385948</v>
      </c>
      <c r="T8" s="207">
        <f t="shared" si="1"/>
        <v>385948</v>
      </c>
      <c r="U8" s="207">
        <f t="shared" si="1"/>
        <v>385948</v>
      </c>
      <c r="V8" s="207">
        <f t="shared" si="1"/>
        <v>385948</v>
      </c>
      <c r="W8" s="207">
        <f t="shared" si="1"/>
        <v>385948</v>
      </c>
      <c r="X8" s="207">
        <f t="shared" si="1"/>
        <v>385948</v>
      </c>
      <c r="Y8" s="208">
        <f>SUM(G8:X8)+D8</f>
        <v>7404950</v>
      </c>
    </row>
    <row r="9" spans="1:25" ht="36">
      <c r="A9" s="238" t="s">
        <v>5</v>
      </c>
      <c r="B9" s="209" t="s">
        <v>845</v>
      </c>
      <c r="C9" s="1185">
        <v>236</v>
      </c>
      <c r="D9" s="1191">
        <v>236</v>
      </c>
      <c r="E9" s="1191">
        <v>236</v>
      </c>
      <c r="F9" s="1623">
        <f t="shared" si="0"/>
        <v>1</v>
      </c>
      <c r="G9" s="210">
        <f>+C9</f>
        <v>236</v>
      </c>
      <c r="H9" s="210">
        <f>+G9</f>
        <v>236</v>
      </c>
      <c r="I9" s="207">
        <f t="shared" ref="I9:I10" si="3">+H9</f>
        <v>236</v>
      </c>
      <c r="J9" s="207">
        <f t="shared" si="1"/>
        <v>236</v>
      </c>
      <c r="K9" s="207">
        <f t="shared" si="2"/>
        <v>236</v>
      </c>
      <c r="L9" s="207">
        <f t="shared" si="2"/>
        <v>236</v>
      </c>
      <c r="M9" s="207">
        <f t="shared" si="1"/>
        <v>236</v>
      </c>
      <c r="N9" s="207">
        <f t="shared" si="1"/>
        <v>236</v>
      </c>
      <c r="O9" s="207">
        <f t="shared" si="1"/>
        <v>236</v>
      </c>
      <c r="P9" s="207">
        <f t="shared" si="1"/>
        <v>236</v>
      </c>
      <c r="Q9" s="207">
        <f t="shared" si="1"/>
        <v>236</v>
      </c>
      <c r="R9" s="207">
        <f t="shared" si="1"/>
        <v>236</v>
      </c>
      <c r="S9" s="207">
        <f t="shared" si="1"/>
        <v>236</v>
      </c>
      <c r="T9" s="207">
        <f t="shared" si="1"/>
        <v>236</v>
      </c>
      <c r="U9" s="207">
        <f t="shared" si="1"/>
        <v>236</v>
      </c>
      <c r="V9" s="207">
        <f t="shared" si="1"/>
        <v>236</v>
      </c>
      <c r="W9" s="207">
        <f t="shared" si="1"/>
        <v>236</v>
      </c>
      <c r="X9" s="207">
        <f t="shared" si="1"/>
        <v>236</v>
      </c>
      <c r="Y9" s="211">
        <f t="shared" ref="Y9:Y13" si="4">SUM(G9:X9)+D9</f>
        <v>4484</v>
      </c>
    </row>
    <row r="10" spans="1:25">
      <c r="A10" s="238" t="s">
        <v>6</v>
      </c>
      <c r="B10" s="209" t="s">
        <v>846</v>
      </c>
      <c r="C10" s="1185"/>
      <c r="D10" s="1191"/>
      <c r="E10" s="1191"/>
      <c r="F10" s="1623" t="str">
        <f t="shared" si="0"/>
        <v>-</v>
      </c>
      <c r="G10" s="210"/>
      <c r="H10" s="210"/>
      <c r="I10" s="207">
        <f t="shared" si="3"/>
        <v>0</v>
      </c>
      <c r="J10" s="207">
        <f t="shared" si="1"/>
        <v>0</v>
      </c>
      <c r="K10" s="207">
        <f t="shared" si="2"/>
        <v>0</v>
      </c>
      <c r="L10" s="207">
        <f t="shared" si="2"/>
        <v>0</v>
      </c>
      <c r="M10" s="207">
        <f t="shared" si="1"/>
        <v>0</v>
      </c>
      <c r="N10" s="207">
        <f t="shared" si="1"/>
        <v>0</v>
      </c>
      <c r="O10" s="207">
        <f t="shared" si="1"/>
        <v>0</v>
      </c>
      <c r="P10" s="207">
        <f t="shared" si="1"/>
        <v>0</v>
      </c>
      <c r="Q10" s="207">
        <f t="shared" si="1"/>
        <v>0</v>
      </c>
      <c r="R10" s="207">
        <f t="shared" si="1"/>
        <v>0</v>
      </c>
      <c r="S10" s="207">
        <f t="shared" si="1"/>
        <v>0</v>
      </c>
      <c r="T10" s="207">
        <f t="shared" si="1"/>
        <v>0</v>
      </c>
      <c r="U10" s="207">
        <f t="shared" si="1"/>
        <v>0</v>
      </c>
      <c r="V10" s="207">
        <f t="shared" si="1"/>
        <v>0</v>
      </c>
      <c r="W10" s="207">
        <f t="shared" si="1"/>
        <v>0</v>
      </c>
      <c r="X10" s="207">
        <f t="shared" si="1"/>
        <v>0</v>
      </c>
      <c r="Y10" s="211">
        <f t="shared" si="4"/>
        <v>0</v>
      </c>
    </row>
    <row r="11" spans="1:25" ht="36">
      <c r="A11" s="238" t="s">
        <v>3</v>
      </c>
      <c r="B11" s="209" t="s">
        <v>847</v>
      </c>
      <c r="C11" s="1185">
        <v>10350</v>
      </c>
      <c r="D11" s="1191">
        <v>4878</v>
      </c>
      <c r="E11" s="1191">
        <v>4022</v>
      </c>
      <c r="F11" s="1623">
        <f t="shared" si="0"/>
        <v>0.82451824518245187</v>
      </c>
      <c r="G11" s="990">
        <v>350</v>
      </c>
      <c r="H11" s="990">
        <v>350</v>
      </c>
      <c r="I11" s="990">
        <v>350</v>
      </c>
      <c r="J11" s="207">
        <f t="shared" si="1"/>
        <v>350</v>
      </c>
      <c r="K11" s="207">
        <f t="shared" si="2"/>
        <v>350</v>
      </c>
      <c r="L11" s="207">
        <f t="shared" si="2"/>
        <v>350</v>
      </c>
      <c r="M11" s="207">
        <f t="shared" si="1"/>
        <v>350</v>
      </c>
      <c r="N11" s="207">
        <f t="shared" si="1"/>
        <v>350</v>
      </c>
      <c r="O11" s="207">
        <f t="shared" si="1"/>
        <v>350</v>
      </c>
      <c r="P11" s="207">
        <f t="shared" si="1"/>
        <v>350</v>
      </c>
      <c r="Q11" s="207">
        <f t="shared" si="1"/>
        <v>350</v>
      </c>
      <c r="R11" s="207">
        <f t="shared" si="1"/>
        <v>350</v>
      </c>
      <c r="S11" s="207">
        <f t="shared" si="1"/>
        <v>350</v>
      </c>
      <c r="T11" s="207">
        <f t="shared" si="1"/>
        <v>350</v>
      </c>
      <c r="U11" s="207">
        <f t="shared" si="1"/>
        <v>350</v>
      </c>
      <c r="V11" s="207">
        <f t="shared" si="1"/>
        <v>350</v>
      </c>
      <c r="W11" s="207">
        <f t="shared" si="1"/>
        <v>350</v>
      </c>
      <c r="X11" s="207">
        <f t="shared" si="1"/>
        <v>350</v>
      </c>
      <c r="Y11" s="211">
        <f t="shared" si="4"/>
        <v>11178</v>
      </c>
    </row>
    <row r="12" spans="1:25" ht="12.75">
      <c r="A12" s="238" t="s">
        <v>16</v>
      </c>
      <c r="B12" s="606" t="s">
        <v>848</v>
      </c>
      <c r="C12" s="1186">
        <v>15370</v>
      </c>
      <c r="D12" s="1192">
        <v>10849</v>
      </c>
      <c r="E12" s="1192">
        <v>3766</v>
      </c>
      <c r="F12" s="1623">
        <f t="shared" si="0"/>
        <v>0.34712876762835282</v>
      </c>
      <c r="G12" s="991">
        <v>7800</v>
      </c>
      <c r="H12" s="991">
        <f>+G12</f>
        <v>7800</v>
      </c>
      <c r="I12" s="207">
        <f>+H12</f>
        <v>7800</v>
      </c>
      <c r="J12" s="207">
        <f t="shared" si="1"/>
        <v>7800</v>
      </c>
      <c r="K12" s="207">
        <f t="shared" si="2"/>
        <v>7800</v>
      </c>
      <c r="L12" s="207">
        <f t="shared" si="2"/>
        <v>7800</v>
      </c>
      <c r="M12" s="207">
        <f t="shared" si="1"/>
        <v>7800</v>
      </c>
      <c r="N12" s="207">
        <f t="shared" si="1"/>
        <v>7800</v>
      </c>
      <c r="O12" s="207">
        <f t="shared" si="1"/>
        <v>7800</v>
      </c>
      <c r="P12" s="207">
        <f t="shared" si="1"/>
        <v>7800</v>
      </c>
      <c r="Q12" s="207">
        <f t="shared" si="1"/>
        <v>7800</v>
      </c>
      <c r="R12" s="207">
        <f t="shared" si="1"/>
        <v>7800</v>
      </c>
      <c r="S12" s="207">
        <f t="shared" si="1"/>
        <v>7800</v>
      </c>
      <c r="T12" s="207">
        <f t="shared" si="1"/>
        <v>7800</v>
      </c>
      <c r="U12" s="207">
        <f t="shared" si="1"/>
        <v>7800</v>
      </c>
      <c r="V12" s="207">
        <f t="shared" si="1"/>
        <v>7800</v>
      </c>
      <c r="W12" s="207">
        <f t="shared" si="1"/>
        <v>7800</v>
      </c>
      <c r="X12" s="207">
        <f t="shared" si="1"/>
        <v>7800</v>
      </c>
      <c r="Y12" s="211">
        <f t="shared" si="4"/>
        <v>151249</v>
      </c>
    </row>
    <row r="13" spans="1:25" ht="24.75" thickBot="1">
      <c r="A13" s="239" t="s">
        <v>15</v>
      </c>
      <c r="B13" s="212" t="s">
        <v>972</v>
      </c>
      <c r="C13" s="1187"/>
      <c r="D13" s="1193"/>
      <c r="E13" s="1193"/>
      <c r="F13" s="1624" t="str">
        <f t="shared" si="0"/>
        <v>-</v>
      </c>
      <c r="G13" s="213"/>
      <c r="H13" s="213"/>
      <c r="I13" s="242"/>
      <c r="J13" s="242">
        <f t="shared" si="1"/>
        <v>0</v>
      </c>
      <c r="K13" s="242">
        <f t="shared" si="2"/>
        <v>0</v>
      </c>
      <c r="L13" s="242">
        <f t="shared" si="2"/>
        <v>0</v>
      </c>
      <c r="M13" s="242">
        <f t="shared" si="1"/>
        <v>0</v>
      </c>
      <c r="N13" s="242">
        <f t="shared" si="1"/>
        <v>0</v>
      </c>
      <c r="O13" s="242">
        <f t="shared" si="1"/>
        <v>0</v>
      </c>
      <c r="P13" s="242">
        <f t="shared" si="1"/>
        <v>0</v>
      </c>
      <c r="Q13" s="242">
        <f t="shared" si="1"/>
        <v>0</v>
      </c>
      <c r="R13" s="242">
        <f t="shared" si="1"/>
        <v>0</v>
      </c>
      <c r="S13" s="242">
        <f t="shared" si="1"/>
        <v>0</v>
      </c>
      <c r="T13" s="242">
        <f t="shared" si="1"/>
        <v>0</v>
      </c>
      <c r="U13" s="242">
        <f t="shared" si="1"/>
        <v>0</v>
      </c>
      <c r="V13" s="242">
        <f t="shared" si="1"/>
        <v>0</v>
      </c>
      <c r="W13" s="242">
        <f t="shared" si="1"/>
        <v>0</v>
      </c>
      <c r="X13" s="242">
        <f t="shared" si="1"/>
        <v>0</v>
      </c>
      <c r="Y13" s="214">
        <f t="shared" si="4"/>
        <v>0</v>
      </c>
    </row>
    <row r="14" spans="1:25" ht="15" thickBot="1">
      <c r="A14" s="240" t="s">
        <v>14</v>
      </c>
      <c r="B14" s="215" t="s">
        <v>849</v>
      </c>
      <c r="C14" s="1188">
        <f>+C8+C9+C12+C11+C10+C13</f>
        <v>368076</v>
      </c>
      <c r="D14" s="216">
        <f>+D8+D9+D12+D11+D10+D13</f>
        <v>517453</v>
      </c>
      <c r="E14" s="216">
        <f>+E8+E9+E12+E11+E10+E13</f>
        <v>370915</v>
      </c>
      <c r="F14" s="1625">
        <f t="shared" si="0"/>
        <v>0.71680906285208512</v>
      </c>
      <c r="G14" s="795">
        <f>+G8+G9+G12+G11+G10+G13</f>
        <v>365217</v>
      </c>
      <c r="H14" s="216">
        <f t="shared" ref="H14:Y14" si="5">+H8+H9+H12+H11+H10+H13</f>
        <v>379847</v>
      </c>
      <c r="I14" s="216">
        <f t="shared" si="5"/>
        <v>394334</v>
      </c>
      <c r="J14" s="216">
        <f t="shared" si="5"/>
        <v>394334</v>
      </c>
      <c r="K14" s="216">
        <f t="shared" si="5"/>
        <v>394334</v>
      </c>
      <c r="L14" s="216">
        <f t="shared" si="5"/>
        <v>394334</v>
      </c>
      <c r="M14" s="216">
        <f>+M8+M9+M12+M11+M10+M13</f>
        <v>394334</v>
      </c>
      <c r="N14" s="216">
        <f>+N8+N9+N12+N11+N10+N13</f>
        <v>394334</v>
      </c>
      <c r="O14" s="216">
        <f t="shared" si="5"/>
        <v>394334</v>
      </c>
      <c r="P14" s="216">
        <f>+P8+P9+P12+P11+P10+P13</f>
        <v>394334</v>
      </c>
      <c r="Q14" s="216">
        <f>+Q8+Q9+Q12+Q11+Q10+Q13</f>
        <v>394334</v>
      </c>
      <c r="R14" s="216">
        <f t="shared" si="5"/>
        <v>394334</v>
      </c>
      <c r="S14" s="216">
        <f>+S8+S9+S12+S11+S10+S13</f>
        <v>394334</v>
      </c>
      <c r="T14" s="216">
        <f>+T8+T9+T12+T11+T10+T13</f>
        <v>394334</v>
      </c>
      <c r="U14" s="216">
        <f>+U8+U9+U12+U11+U10+U13</f>
        <v>394334</v>
      </c>
      <c r="V14" s="216">
        <f>+V8+V9+V12+V11+V10+V13</f>
        <v>394334</v>
      </c>
      <c r="W14" s="216">
        <f t="shared" si="5"/>
        <v>394334</v>
      </c>
      <c r="X14" s="732">
        <f t="shared" si="5"/>
        <v>394334</v>
      </c>
      <c r="Y14" s="218">
        <f t="shared" si="5"/>
        <v>7571861</v>
      </c>
    </row>
    <row r="15" spans="1:25" ht="15" thickBot="1">
      <c r="A15" s="240" t="s">
        <v>13</v>
      </c>
      <c r="B15" s="215" t="s">
        <v>850</v>
      </c>
      <c r="C15" s="1188">
        <f>+ROUNDDOWN(C14*0.5,0)</f>
        <v>184038</v>
      </c>
      <c r="D15" s="216">
        <f>+ROUNDDOWN(D14*0.5,0)</f>
        <v>258726</v>
      </c>
      <c r="E15" s="216">
        <f>+ROUNDDOWN(E14*0.5,0)</f>
        <v>185457</v>
      </c>
      <c r="F15" s="1625">
        <f t="shared" si="0"/>
        <v>0.71680851557245895</v>
      </c>
      <c r="G15" s="221">
        <f t="shared" ref="G15:Y15" si="6">+ROUNDDOWN(G14*0.5,0)</f>
        <v>182608</v>
      </c>
      <c r="H15" s="221">
        <f t="shared" si="6"/>
        <v>189923</v>
      </c>
      <c r="I15" s="221">
        <f t="shared" si="6"/>
        <v>197167</v>
      </c>
      <c r="J15" s="221">
        <f t="shared" si="6"/>
        <v>197167</v>
      </c>
      <c r="K15" s="221">
        <f t="shared" si="6"/>
        <v>197167</v>
      </c>
      <c r="L15" s="221">
        <f t="shared" si="6"/>
        <v>197167</v>
      </c>
      <c r="M15" s="221">
        <f>+ROUNDDOWN(M14*0.5,0)</f>
        <v>197167</v>
      </c>
      <c r="N15" s="221">
        <f>+ROUNDDOWN(N14*0.5,0)</f>
        <v>197167</v>
      </c>
      <c r="O15" s="221">
        <f t="shared" si="6"/>
        <v>197167</v>
      </c>
      <c r="P15" s="221">
        <f>+ROUNDDOWN(P14*0.5,0)</f>
        <v>197167</v>
      </c>
      <c r="Q15" s="221">
        <f>+ROUNDDOWN(Q14*0.5,0)</f>
        <v>197167</v>
      </c>
      <c r="R15" s="221">
        <f t="shared" si="6"/>
        <v>197167</v>
      </c>
      <c r="S15" s="221">
        <f>+ROUNDDOWN(S14*0.5,0)</f>
        <v>197167</v>
      </c>
      <c r="T15" s="221">
        <f>+ROUNDDOWN(T14*0.5,0)</f>
        <v>197167</v>
      </c>
      <c r="U15" s="221">
        <f>+ROUNDDOWN(U14*0.5,0)</f>
        <v>197167</v>
      </c>
      <c r="V15" s="221">
        <f>+ROUNDDOWN(V14*0.5,0)</f>
        <v>197167</v>
      </c>
      <c r="W15" s="221">
        <f t="shared" si="6"/>
        <v>197167</v>
      </c>
      <c r="X15" s="221">
        <f t="shared" si="6"/>
        <v>197167</v>
      </c>
      <c r="Y15" s="218">
        <f t="shared" si="6"/>
        <v>3785930</v>
      </c>
    </row>
    <row r="16" spans="1:25" ht="27" thickBot="1">
      <c r="A16" s="240" t="s">
        <v>12</v>
      </c>
      <c r="B16" s="215" t="s">
        <v>856</v>
      </c>
      <c r="C16" s="1188">
        <f t="shared" ref="C16" si="7">+C17+C18+C19+C20+C21+C22+C23+C24+C25</f>
        <v>27105</v>
      </c>
      <c r="D16" s="216">
        <f t="shared" ref="D16:E16" si="8">+D17+D18+D19+D20+D21+D22+D23+D24+D25</f>
        <v>27105</v>
      </c>
      <c r="E16" s="216">
        <f t="shared" si="8"/>
        <v>3000</v>
      </c>
      <c r="F16" s="1625">
        <f t="shared" si="0"/>
        <v>0.11068068622025456</v>
      </c>
      <c r="G16" s="217">
        <f t="shared" ref="G16:Y16" si="9">+G17+G18+G19+G20+G21+G22+G23+G24+G25</f>
        <v>28307</v>
      </c>
      <c r="H16" s="217">
        <f t="shared" si="9"/>
        <v>28308</v>
      </c>
      <c r="I16" s="217">
        <f t="shared" si="9"/>
        <v>2000</v>
      </c>
      <c r="J16" s="217">
        <f t="shared" si="9"/>
        <v>2000</v>
      </c>
      <c r="K16" s="217">
        <f t="shared" si="9"/>
        <v>2000</v>
      </c>
      <c r="L16" s="217">
        <f t="shared" si="9"/>
        <v>2000</v>
      </c>
      <c r="M16" s="217">
        <f>+M17+M18+M19+M20+M21+M22+M23+M24+M25</f>
        <v>2000</v>
      </c>
      <c r="N16" s="217">
        <f>+N17+N18+N19+N20+N21+N22+N23+N24+N25</f>
        <v>2000</v>
      </c>
      <c r="O16" s="217">
        <f t="shared" si="9"/>
        <v>2000</v>
      </c>
      <c r="P16" s="217">
        <f>+P17+P18+P19+P20+P21+P22+P23+P24+P25</f>
        <v>2000</v>
      </c>
      <c r="Q16" s="217">
        <f>+Q17+Q18+Q19+Q20+Q21+Q22+Q23+Q24+Q25</f>
        <v>2000</v>
      </c>
      <c r="R16" s="217">
        <f t="shared" si="9"/>
        <v>2000</v>
      </c>
      <c r="S16" s="217">
        <f>+S17+S18+S19+S20+S21+S22+S23+S24+S25</f>
        <v>2000</v>
      </c>
      <c r="T16" s="217">
        <f>+T17+T18+T19+T20+T21+T22+T23+T24+T25</f>
        <v>2000</v>
      </c>
      <c r="U16" s="217">
        <f>+U17+U18+U19+U20+U21+U22+U23+U24+U25</f>
        <v>2000</v>
      </c>
      <c r="V16" s="217">
        <f>+V17+V18+V19+V20+V21+V22+V23+V24+V25</f>
        <v>2000</v>
      </c>
      <c r="W16" s="217">
        <f t="shared" si="9"/>
        <v>2000</v>
      </c>
      <c r="X16" s="217">
        <f t="shared" si="9"/>
        <v>3525</v>
      </c>
      <c r="Y16" s="218">
        <f t="shared" si="9"/>
        <v>117245</v>
      </c>
    </row>
    <row r="17" spans="1:25">
      <c r="A17" s="237" t="s">
        <v>11</v>
      </c>
      <c r="B17" s="206" t="s">
        <v>467</v>
      </c>
      <c r="C17" s="1184"/>
      <c r="D17" s="1194"/>
      <c r="E17" s="1194"/>
      <c r="F17" s="1622" t="str">
        <f t="shared" si="0"/>
        <v>-</v>
      </c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11">
        <f t="shared" ref="Y17:Y25" si="10">SUM(G17:X17)+D17</f>
        <v>0</v>
      </c>
    </row>
    <row r="18" spans="1:25">
      <c r="A18" s="238" t="s">
        <v>10</v>
      </c>
      <c r="B18" s="209" t="s">
        <v>468</v>
      </c>
      <c r="C18" s="1185"/>
      <c r="D18" s="1191"/>
      <c r="E18" s="1191"/>
      <c r="F18" s="1623" t="str">
        <f t="shared" si="0"/>
        <v>-</v>
      </c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1">
        <f t="shared" si="10"/>
        <v>0</v>
      </c>
    </row>
    <row r="19" spans="1:25">
      <c r="A19" s="238" t="s">
        <v>9</v>
      </c>
      <c r="B19" s="209" t="s">
        <v>469</v>
      </c>
      <c r="C19" s="1185"/>
      <c r="D19" s="1191"/>
      <c r="E19" s="1191"/>
      <c r="F19" s="1623" t="str">
        <f t="shared" si="0"/>
        <v>-</v>
      </c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1">
        <f t="shared" si="10"/>
        <v>0</v>
      </c>
    </row>
    <row r="20" spans="1:25">
      <c r="A20" s="238" t="s">
        <v>45</v>
      </c>
      <c r="B20" s="209" t="s">
        <v>470</v>
      </c>
      <c r="C20" s="1185"/>
      <c r="D20" s="1191"/>
      <c r="E20" s="1191"/>
      <c r="F20" s="1623" t="str">
        <f t="shared" si="0"/>
        <v>-</v>
      </c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1">
        <f t="shared" si="10"/>
        <v>0</v>
      </c>
    </row>
    <row r="21" spans="1:25">
      <c r="A21" s="238" t="s">
        <v>44</v>
      </c>
      <c r="B21" s="209" t="s">
        <v>471</v>
      </c>
      <c r="C21" s="1185"/>
      <c r="D21" s="1191"/>
      <c r="E21" s="1191"/>
      <c r="F21" s="1623" t="str">
        <f t="shared" si="0"/>
        <v>-</v>
      </c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1">
        <f t="shared" si="10"/>
        <v>0</v>
      </c>
    </row>
    <row r="22" spans="1:25" ht="36">
      <c r="A22" s="238" t="s">
        <v>43</v>
      </c>
      <c r="B22" s="209" t="s">
        <v>854</v>
      </c>
      <c r="C22" s="1185"/>
      <c r="D22" s="1191"/>
      <c r="E22" s="1191"/>
      <c r="F22" s="1623" t="str">
        <f t="shared" si="0"/>
        <v>-</v>
      </c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1">
        <f t="shared" si="10"/>
        <v>0</v>
      </c>
    </row>
    <row r="23" spans="1:25">
      <c r="A23" s="238" t="s">
        <v>40</v>
      </c>
      <c r="B23" s="209" t="s">
        <v>853</v>
      </c>
      <c r="C23" s="1185">
        <f>2000+3000+8900+13205</f>
        <v>27105</v>
      </c>
      <c r="D23" s="1191">
        <f>2000+3000+8900+13205</f>
        <v>27105</v>
      </c>
      <c r="E23" s="1191">
        <v>3000</v>
      </c>
      <c r="F23" s="1623">
        <f t="shared" si="0"/>
        <v>0.11068068622025456</v>
      </c>
      <c r="G23" s="210">
        <f>2000+19807+6500</f>
        <v>28307</v>
      </c>
      <c r="H23" s="210">
        <f>2000+19808+6500</f>
        <v>28308</v>
      </c>
      <c r="I23" s="210">
        <v>2000</v>
      </c>
      <c r="J23" s="210">
        <v>2000</v>
      </c>
      <c r="K23" s="210">
        <v>2000</v>
      </c>
      <c r="L23" s="210">
        <v>2000</v>
      </c>
      <c r="M23" s="210">
        <v>2000</v>
      </c>
      <c r="N23" s="210">
        <v>2000</v>
      </c>
      <c r="O23" s="210">
        <v>2000</v>
      </c>
      <c r="P23" s="210">
        <v>2000</v>
      </c>
      <c r="Q23" s="210">
        <v>2000</v>
      </c>
      <c r="R23" s="210">
        <v>2000</v>
      </c>
      <c r="S23" s="210">
        <v>2000</v>
      </c>
      <c r="T23" s="210">
        <v>2000</v>
      </c>
      <c r="U23" s="210">
        <v>2000</v>
      </c>
      <c r="V23" s="210">
        <v>2000</v>
      </c>
      <c r="W23" s="210">
        <v>2000</v>
      </c>
      <c r="X23" s="210">
        <v>3525</v>
      </c>
      <c r="Y23" s="211">
        <f t="shared" si="10"/>
        <v>117245</v>
      </c>
    </row>
    <row r="24" spans="1:25" ht="36">
      <c r="A24" s="238" t="s">
        <v>39</v>
      </c>
      <c r="B24" s="219" t="s">
        <v>855</v>
      </c>
      <c r="C24" s="1185"/>
      <c r="D24" s="1191"/>
      <c r="E24" s="1191"/>
      <c r="F24" s="1623" t="str">
        <f t="shared" si="0"/>
        <v>-</v>
      </c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1">
        <f t="shared" si="10"/>
        <v>0</v>
      </c>
    </row>
    <row r="25" spans="1:25" ht="24.75" thickBot="1">
      <c r="A25" s="238" t="s">
        <v>38</v>
      </c>
      <c r="B25" s="219" t="s">
        <v>973</v>
      </c>
      <c r="C25" s="1185"/>
      <c r="D25" s="1191"/>
      <c r="E25" s="1191"/>
      <c r="F25" s="1623" t="str">
        <f t="shared" si="0"/>
        <v>-</v>
      </c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1">
        <f t="shared" si="10"/>
        <v>0</v>
      </c>
    </row>
    <row r="26" spans="1:25" ht="27" thickBot="1">
      <c r="A26" s="240" t="s">
        <v>36</v>
      </c>
      <c r="B26" s="215" t="s">
        <v>857</v>
      </c>
      <c r="C26" s="1188">
        <f>+C27+C28+C29+C30+C31+C32+C33+C34+C35</f>
        <v>0</v>
      </c>
      <c r="D26" s="216">
        <f>+D27+D28+D29+D30+D31+D32+D33+D34+D35</f>
        <v>0</v>
      </c>
      <c r="E26" s="216">
        <f>+E27+E28+E29+E30+E31+E32+E33+E34+E35</f>
        <v>0</v>
      </c>
      <c r="F26" s="1625" t="str">
        <f t="shared" si="0"/>
        <v>-</v>
      </c>
      <c r="G26" s="217">
        <f t="shared" ref="G26:Y26" si="11">+G27+G28+G29+G30+G31+G32+G33+G34+G35</f>
        <v>9999</v>
      </c>
      <c r="H26" s="217">
        <f t="shared" si="11"/>
        <v>0</v>
      </c>
      <c r="I26" s="217">
        <f t="shared" si="11"/>
        <v>0</v>
      </c>
      <c r="J26" s="217">
        <f t="shared" si="11"/>
        <v>0</v>
      </c>
      <c r="K26" s="217">
        <f t="shared" si="11"/>
        <v>0</v>
      </c>
      <c r="L26" s="217">
        <f t="shared" si="11"/>
        <v>0</v>
      </c>
      <c r="M26" s="217">
        <f>+M27+M28+M29+M30+M31+M32+M33+M34+M35</f>
        <v>0</v>
      </c>
      <c r="N26" s="217">
        <f>+N27+N28+N29+N30+N31+N32+N33+N34+N35</f>
        <v>0</v>
      </c>
      <c r="O26" s="217">
        <f t="shared" si="11"/>
        <v>0</v>
      </c>
      <c r="P26" s="217">
        <f>+P27+P28+P29+P30+P31+P32+P33+P34+P35</f>
        <v>0</v>
      </c>
      <c r="Q26" s="217">
        <f>+Q27+Q28+Q29+Q30+Q31+Q32+Q33+Q34+Q35</f>
        <v>0</v>
      </c>
      <c r="R26" s="217">
        <f t="shared" si="11"/>
        <v>0</v>
      </c>
      <c r="S26" s="217">
        <f>+S27+S28+S29+S30+S31+S32+S33+S34+S35</f>
        <v>0</v>
      </c>
      <c r="T26" s="217">
        <f>+T27+T28+T29+T30+T31+T32+T33+T34+T35</f>
        <v>0</v>
      </c>
      <c r="U26" s="217">
        <f>+U27+U28+U29+U30+U31+U32+U33+U34+U35</f>
        <v>0</v>
      </c>
      <c r="V26" s="217">
        <f>+V27+V28+V29+V30+V31+V32+V33+V34+V35</f>
        <v>0</v>
      </c>
      <c r="W26" s="217">
        <f t="shared" si="11"/>
        <v>0</v>
      </c>
      <c r="X26" s="217">
        <f t="shared" si="11"/>
        <v>0</v>
      </c>
      <c r="Y26" s="218">
        <f t="shared" si="11"/>
        <v>9999</v>
      </c>
    </row>
    <row r="27" spans="1:25">
      <c r="A27" s="237" t="s">
        <v>35</v>
      </c>
      <c r="B27" s="206" t="s">
        <v>467</v>
      </c>
      <c r="C27" s="1184"/>
      <c r="D27" s="1194"/>
      <c r="E27" s="1194"/>
      <c r="F27" s="1622" t="str">
        <f t="shared" si="0"/>
        <v>-</v>
      </c>
      <c r="G27" s="207">
        <v>9999</v>
      </c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11">
        <f t="shared" ref="Y27:Y35" si="12">SUM(G27:X27)+D27</f>
        <v>9999</v>
      </c>
    </row>
    <row r="28" spans="1:25">
      <c r="A28" s="238" t="s">
        <v>34</v>
      </c>
      <c r="B28" s="209" t="s">
        <v>468</v>
      </c>
      <c r="C28" s="1185"/>
      <c r="D28" s="1191"/>
      <c r="E28" s="1191"/>
      <c r="F28" s="1623" t="str">
        <f t="shared" si="0"/>
        <v>-</v>
      </c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1">
        <f t="shared" si="12"/>
        <v>0</v>
      </c>
    </row>
    <row r="29" spans="1:25">
      <c r="A29" s="238" t="s">
        <v>33</v>
      </c>
      <c r="B29" s="209" t="s">
        <v>469</v>
      </c>
      <c r="C29" s="1185"/>
      <c r="D29" s="1191"/>
      <c r="E29" s="1191"/>
      <c r="F29" s="1623" t="str">
        <f t="shared" si="0"/>
        <v>-</v>
      </c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1">
        <f t="shared" si="12"/>
        <v>0</v>
      </c>
    </row>
    <row r="30" spans="1:25">
      <c r="A30" s="238" t="s">
        <v>32</v>
      </c>
      <c r="B30" s="209" t="s">
        <v>470</v>
      </c>
      <c r="C30" s="1185"/>
      <c r="D30" s="1191"/>
      <c r="E30" s="1191"/>
      <c r="F30" s="1623" t="str">
        <f t="shared" si="0"/>
        <v>-</v>
      </c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1">
        <f t="shared" si="12"/>
        <v>0</v>
      </c>
    </row>
    <row r="31" spans="1:25">
      <c r="A31" s="238" t="s">
        <v>472</v>
      </c>
      <c r="B31" s="209" t="s">
        <v>471</v>
      </c>
      <c r="C31" s="1185"/>
      <c r="D31" s="1191"/>
      <c r="E31" s="1191"/>
      <c r="F31" s="1623" t="str">
        <f t="shared" si="0"/>
        <v>-</v>
      </c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1">
        <f t="shared" si="12"/>
        <v>0</v>
      </c>
    </row>
    <row r="32" spans="1:25" ht="36">
      <c r="A32" s="238" t="s">
        <v>473</v>
      </c>
      <c r="B32" s="209" t="s">
        <v>854</v>
      </c>
      <c r="C32" s="1185"/>
      <c r="D32" s="1191"/>
      <c r="E32" s="1191"/>
      <c r="F32" s="1623" t="str">
        <f t="shared" si="0"/>
        <v>-</v>
      </c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1">
        <f t="shared" si="12"/>
        <v>0</v>
      </c>
    </row>
    <row r="33" spans="1:25">
      <c r="A33" s="238" t="s">
        <v>474</v>
      </c>
      <c r="B33" s="209" t="s">
        <v>853</v>
      </c>
      <c r="C33" s="1185"/>
      <c r="D33" s="1191"/>
      <c r="E33" s="1191"/>
      <c r="F33" s="1623" t="str">
        <f t="shared" si="0"/>
        <v>-</v>
      </c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1">
        <f t="shared" si="12"/>
        <v>0</v>
      </c>
    </row>
    <row r="34" spans="1:25" ht="36">
      <c r="A34" s="238" t="s">
        <v>475</v>
      </c>
      <c r="B34" s="219" t="s">
        <v>855</v>
      </c>
      <c r="C34" s="1185"/>
      <c r="D34" s="1191"/>
      <c r="E34" s="1191"/>
      <c r="F34" s="1623" t="str">
        <f t="shared" si="0"/>
        <v>-</v>
      </c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1">
        <f t="shared" si="12"/>
        <v>0</v>
      </c>
    </row>
    <row r="35" spans="1:25" ht="24.75" thickBot="1">
      <c r="A35" s="238" t="s">
        <v>488</v>
      </c>
      <c r="B35" s="219" t="s">
        <v>973</v>
      </c>
      <c r="C35" s="1187"/>
      <c r="D35" s="1193"/>
      <c r="E35" s="1193"/>
      <c r="F35" s="1624" t="str">
        <f t="shared" si="0"/>
        <v>-</v>
      </c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4">
        <f t="shared" si="12"/>
        <v>0</v>
      </c>
    </row>
    <row r="36" spans="1:25" ht="12.75" thickBot="1">
      <c r="A36" s="240" t="s">
        <v>489</v>
      </c>
      <c r="B36" s="215" t="s">
        <v>858</v>
      </c>
      <c r="C36" s="1188">
        <f t="shared" ref="C36" si="13">+C16+C26</f>
        <v>27105</v>
      </c>
      <c r="D36" s="216">
        <f t="shared" ref="D36:E36" si="14">+D16+D26</f>
        <v>27105</v>
      </c>
      <c r="E36" s="216">
        <f t="shared" si="14"/>
        <v>3000</v>
      </c>
      <c r="F36" s="1625">
        <f t="shared" si="0"/>
        <v>0.11068068622025456</v>
      </c>
      <c r="G36" s="217">
        <f t="shared" ref="G36:Y36" si="15">+G16+G26</f>
        <v>38306</v>
      </c>
      <c r="H36" s="217">
        <f t="shared" si="15"/>
        <v>28308</v>
      </c>
      <c r="I36" s="217">
        <f t="shared" si="15"/>
        <v>2000</v>
      </c>
      <c r="J36" s="217">
        <f t="shared" si="15"/>
        <v>2000</v>
      </c>
      <c r="K36" s="217">
        <f t="shared" si="15"/>
        <v>2000</v>
      </c>
      <c r="L36" s="217">
        <f t="shared" si="15"/>
        <v>2000</v>
      </c>
      <c r="M36" s="217">
        <f>+M16+M26</f>
        <v>2000</v>
      </c>
      <c r="N36" s="217">
        <f>+N16+N26</f>
        <v>2000</v>
      </c>
      <c r="O36" s="217">
        <f t="shared" si="15"/>
        <v>2000</v>
      </c>
      <c r="P36" s="217">
        <f>+P16+P26</f>
        <v>2000</v>
      </c>
      <c r="Q36" s="217">
        <f>+Q16+Q26</f>
        <v>2000</v>
      </c>
      <c r="R36" s="217">
        <f t="shared" si="15"/>
        <v>2000</v>
      </c>
      <c r="S36" s="217">
        <f>+S16+S26</f>
        <v>2000</v>
      </c>
      <c r="T36" s="217">
        <f>+T16+T26</f>
        <v>2000</v>
      </c>
      <c r="U36" s="217">
        <f>+U16+U26</f>
        <v>2000</v>
      </c>
      <c r="V36" s="217">
        <f>+V16+V26</f>
        <v>2000</v>
      </c>
      <c r="W36" s="217">
        <f t="shared" si="15"/>
        <v>2000</v>
      </c>
      <c r="X36" s="217">
        <f t="shared" si="15"/>
        <v>3525</v>
      </c>
      <c r="Y36" s="218">
        <f t="shared" si="15"/>
        <v>127244</v>
      </c>
    </row>
    <row r="37" spans="1:25" ht="24.75" thickBot="1">
      <c r="A37" s="241" t="s">
        <v>490</v>
      </c>
      <c r="B37" s="220" t="s">
        <v>859</v>
      </c>
      <c r="C37" s="1189">
        <f t="shared" ref="C37" si="16">+C15-C36</f>
        <v>156933</v>
      </c>
      <c r="D37" s="1195">
        <f t="shared" ref="D37:E37" si="17">+D15-D36</f>
        <v>231621</v>
      </c>
      <c r="E37" s="1195">
        <f t="shared" si="17"/>
        <v>182457</v>
      </c>
      <c r="F37" s="1626">
        <f t="shared" si="0"/>
        <v>0.78773945367648013</v>
      </c>
      <c r="G37" s="221">
        <f t="shared" ref="G37:Y37" si="18">+G15-G36</f>
        <v>144302</v>
      </c>
      <c r="H37" s="221">
        <f t="shared" si="18"/>
        <v>161615</v>
      </c>
      <c r="I37" s="221">
        <f t="shared" si="18"/>
        <v>195167</v>
      </c>
      <c r="J37" s="221">
        <f t="shared" si="18"/>
        <v>195167</v>
      </c>
      <c r="K37" s="221">
        <f t="shared" si="18"/>
        <v>195167</v>
      </c>
      <c r="L37" s="221">
        <f t="shared" si="18"/>
        <v>195167</v>
      </c>
      <c r="M37" s="221">
        <f>+M15-M36</f>
        <v>195167</v>
      </c>
      <c r="N37" s="221">
        <f>+N15-N36</f>
        <v>195167</v>
      </c>
      <c r="O37" s="221">
        <f t="shared" si="18"/>
        <v>195167</v>
      </c>
      <c r="P37" s="221">
        <f>+P15-P36</f>
        <v>195167</v>
      </c>
      <c r="Q37" s="221">
        <f>+Q15-Q36</f>
        <v>195167</v>
      </c>
      <c r="R37" s="221">
        <f t="shared" si="18"/>
        <v>195167</v>
      </c>
      <c r="S37" s="221">
        <f>+S15-S36</f>
        <v>195167</v>
      </c>
      <c r="T37" s="221">
        <f>+T15-T36</f>
        <v>195167</v>
      </c>
      <c r="U37" s="221">
        <f>+U15-U36</f>
        <v>195167</v>
      </c>
      <c r="V37" s="221">
        <f>+V15-V36</f>
        <v>195167</v>
      </c>
      <c r="W37" s="221">
        <f t="shared" si="18"/>
        <v>195167</v>
      </c>
      <c r="X37" s="221">
        <f t="shared" si="18"/>
        <v>193642</v>
      </c>
      <c r="Y37" s="222">
        <f t="shared" si="18"/>
        <v>3658686</v>
      </c>
    </row>
    <row r="38" spans="1:25" ht="13.5">
      <c r="A38" s="1834" t="s">
        <v>479</v>
      </c>
      <c r="B38" s="1834"/>
      <c r="C38" s="1834"/>
      <c r="D38" s="1834"/>
      <c r="E38" s="1834"/>
      <c r="F38" s="1834"/>
      <c r="G38" s="1834"/>
      <c r="H38" s="1834"/>
      <c r="I38" s="1834"/>
      <c r="J38" s="1834"/>
      <c r="K38" s="1834"/>
      <c r="L38" s="1834"/>
      <c r="M38" s="1834"/>
      <c r="N38" s="1834"/>
      <c r="O38" s="1834"/>
      <c r="P38" s="1834"/>
      <c r="Q38" s="1834"/>
      <c r="R38" s="1834"/>
      <c r="S38" s="1834"/>
      <c r="T38" s="1834"/>
      <c r="U38" s="1834"/>
      <c r="V38" s="1834"/>
      <c r="W38" s="1834"/>
      <c r="X38" s="1834"/>
      <c r="Y38" s="1834"/>
    </row>
    <row r="39" spans="1:25" ht="13.5">
      <c r="A39" s="1835" t="s">
        <v>974</v>
      </c>
      <c r="B39" s="1835"/>
      <c r="C39" s="1835"/>
      <c r="D39" s="1835"/>
      <c r="E39" s="1835"/>
      <c r="F39" s="1835"/>
      <c r="G39" s="1835"/>
      <c r="H39" s="1835"/>
      <c r="I39" s="1835"/>
      <c r="J39" s="1835"/>
      <c r="K39" s="1835"/>
      <c r="L39" s="1835"/>
      <c r="M39" s="1835"/>
      <c r="N39" s="1835"/>
      <c r="O39" s="1835"/>
      <c r="P39" s="1835"/>
      <c r="Q39" s="1835"/>
      <c r="R39" s="1835"/>
      <c r="S39" s="1835"/>
      <c r="T39" s="1835"/>
      <c r="U39" s="1835"/>
      <c r="V39" s="1835"/>
      <c r="W39" s="1835"/>
      <c r="X39" s="1835"/>
      <c r="Y39" s="1835"/>
    </row>
    <row r="40" spans="1:25" ht="61.5" customHeight="1">
      <c r="A40" s="1836" t="s">
        <v>1113</v>
      </c>
      <c r="B40" s="1836"/>
      <c r="C40" s="1836"/>
      <c r="D40" s="1836"/>
      <c r="E40" s="1836"/>
      <c r="F40" s="1836"/>
      <c r="G40" s="1836"/>
      <c r="H40" s="1836"/>
      <c r="I40" s="1836"/>
      <c r="J40" s="1836"/>
      <c r="K40" s="1836"/>
      <c r="L40" s="1836"/>
      <c r="M40" s="1836"/>
      <c r="N40" s="1836"/>
      <c r="O40" s="1836"/>
      <c r="P40" s="1836"/>
      <c r="Q40" s="1836"/>
      <c r="R40" s="1836"/>
      <c r="S40" s="1836"/>
      <c r="T40" s="1836"/>
      <c r="U40" s="1836"/>
      <c r="V40" s="1836"/>
      <c r="W40" s="1836"/>
      <c r="X40" s="1836"/>
      <c r="Y40" s="1836"/>
    </row>
    <row r="42" spans="1:25" ht="15.75">
      <c r="A42" s="1837" t="s">
        <v>1488</v>
      </c>
      <c r="B42" s="1837"/>
      <c r="C42" s="1837"/>
      <c r="D42" s="1837"/>
      <c r="E42" s="1837"/>
      <c r="F42" s="1837"/>
      <c r="G42" s="1837"/>
      <c r="H42" s="1837"/>
      <c r="I42" s="1837"/>
      <c r="J42" s="1837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</row>
    <row r="43" spans="1:25">
      <c r="A43" s="223"/>
      <c r="B43" s="223"/>
      <c r="C43" s="223"/>
      <c r="D43" s="223"/>
      <c r="E43" s="223"/>
      <c r="F43" s="1627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</row>
    <row r="44" spans="1:25" ht="12.75" thickBot="1">
      <c r="A44" s="224"/>
      <c r="B44" s="224"/>
      <c r="C44" s="225"/>
      <c r="D44" s="225"/>
      <c r="E44" s="225"/>
      <c r="F44" s="1628" t="s">
        <v>49</v>
      </c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</row>
    <row r="45" spans="1:25" ht="12.75" thickBot="1">
      <c r="A45" s="1830" t="s">
        <v>17</v>
      </c>
      <c r="B45" s="1832" t="s">
        <v>476</v>
      </c>
      <c r="C45" s="1827" t="s">
        <v>477</v>
      </c>
      <c r="D45" s="1828"/>
      <c r="E45" s="1828"/>
      <c r="F45" s="1829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</row>
    <row r="46" spans="1:25" ht="36.75" thickBot="1">
      <c r="A46" s="1831"/>
      <c r="B46" s="1833"/>
      <c r="C46" s="1101" t="s">
        <v>1553</v>
      </c>
      <c r="D46" s="6" t="s">
        <v>1554</v>
      </c>
      <c r="E46" s="6" t="s">
        <v>2646</v>
      </c>
      <c r="F46" s="1549" t="s">
        <v>2645</v>
      </c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</row>
    <row r="47" spans="1:25" ht="13.5" customHeight="1" thickBot="1">
      <c r="A47" s="227">
        <v>1</v>
      </c>
      <c r="B47" s="232">
        <v>2</v>
      </c>
      <c r="C47" s="1824">
        <v>3</v>
      </c>
      <c r="D47" s="1825"/>
      <c r="E47" s="1825"/>
      <c r="F47" s="1826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</row>
    <row r="48" spans="1:25">
      <c r="A48" s="228" t="s">
        <v>4</v>
      </c>
      <c r="B48" s="233" t="s">
        <v>1256</v>
      </c>
      <c r="C48" s="1196">
        <v>29999</v>
      </c>
      <c r="D48" s="1200">
        <v>0</v>
      </c>
      <c r="E48" s="1204"/>
      <c r="F48" s="1629" t="str">
        <f>IF(ISERROR(E48/D48),"-",E48/D48)</f>
        <v>-</v>
      </c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</row>
    <row r="49" spans="1:25">
      <c r="A49" s="229" t="s">
        <v>5</v>
      </c>
      <c r="B49" s="234"/>
      <c r="C49" s="1197"/>
      <c r="D49" s="1201"/>
      <c r="E49" s="1205"/>
      <c r="F49" s="1630" t="str">
        <f>IF(ISERROR(E49/D49),"-",E49/D49)</f>
        <v>-</v>
      </c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</row>
    <row r="50" spans="1:25" ht="12.75" thickBot="1">
      <c r="A50" s="230" t="s">
        <v>6</v>
      </c>
      <c r="B50" s="235"/>
      <c r="C50" s="1198"/>
      <c r="D50" s="1202"/>
      <c r="E50" s="1206"/>
      <c r="F50" s="1631" t="str">
        <f>IF(ISERROR(E50/D50),"-",E50/D50)</f>
        <v>-</v>
      </c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</row>
    <row r="51" spans="1:25" ht="24.75" thickBot="1">
      <c r="A51" s="231" t="s">
        <v>3</v>
      </c>
      <c r="B51" s="236" t="s">
        <v>2658</v>
      </c>
      <c r="C51" s="1199">
        <f>SUM(C48:C50)</f>
        <v>29999</v>
      </c>
      <c r="D51" s="1203">
        <f>SUM(D48:D50)</f>
        <v>0</v>
      </c>
      <c r="E51" s="1207">
        <f>SUM(E48:E50)</f>
        <v>0</v>
      </c>
      <c r="F51" s="1632" t="str">
        <f>IF(ISERROR(E51/D51),"-",E51/D51)</f>
        <v>-</v>
      </c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</row>
    <row r="52" spans="1:25">
      <c r="A52" s="143"/>
      <c r="B52" s="143"/>
      <c r="C52" s="143"/>
      <c r="D52" s="143"/>
      <c r="E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</row>
    <row r="53" spans="1:25">
      <c r="A53" s="143"/>
      <c r="B53" s="143"/>
      <c r="C53" s="143"/>
      <c r="D53" s="143"/>
      <c r="E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</row>
  </sheetData>
  <mergeCells count="14">
    <mergeCell ref="C7:F7"/>
    <mergeCell ref="A3:Y3"/>
    <mergeCell ref="A5:A6"/>
    <mergeCell ref="B5:B6"/>
    <mergeCell ref="Y5:Y6"/>
    <mergeCell ref="C5:X5"/>
    <mergeCell ref="C47:F47"/>
    <mergeCell ref="C45:F45"/>
    <mergeCell ref="A45:A46"/>
    <mergeCell ref="B45:B46"/>
    <mergeCell ref="A38:Y38"/>
    <mergeCell ref="A39:Y39"/>
    <mergeCell ref="A40:Y40"/>
    <mergeCell ref="A42:J4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4" orientation="landscape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9">
    <tabColor rgb="FF00B0F0"/>
    <pageSetUpPr fitToPage="1"/>
  </sheetPr>
  <dimension ref="A1:L48"/>
  <sheetViews>
    <sheetView zoomScaleNormal="100" workbookViewId="0">
      <selection activeCell="B14" sqref="B14"/>
    </sheetView>
  </sheetViews>
  <sheetFormatPr defaultRowHeight="12"/>
  <cols>
    <col min="1" max="1" width="4.85546875" style="148" bestFit="1" customWidth="1"/>
    <col min="2" max="2" width="82.5703125" style="148" customWidth="1"/>
    <col min="3" max="11" width="10.140625" style="148" customWidth="1"/>
    <col min="12" max="12" width="13.140625" style="148" bestFit="1" customWidth="1"/>
    <col min="13" max="16384" width="9.140625" style="148"/>
  </cols>
  <sheetData>
    <row r="1" spans="1:12" s="149" customFormat="1" ht="15.75">
      <c r="A1" s="258"/>
      <c r="B1" s="257"/>
      <c r="C1" s="257"/>
      <c r="D1" s="257"/>
      <c r="E1" s="257"/>
      <c r="F1" s="257"/>
      <c r="G1" s="257"/>
      <c r="H1" s="257"/>
      <c r="I1" s="257"/>
      <c r="J1" s="257"/>
      <c r="K1" s="142"/>
      <c r="L1" s="153" t="s">
        <v>492</v>
      </c>
    </row>
    <row r="2" spans="1:12" s="149" customFormat="1" ht="15.75">
      <c r="A2" s="258"/>
      <c r="B2" s="257"/>
      <c r="C2" s="257"/>
      <c r="D2" s="257"/>
      <c r="E2" s="257"/>
      <c r="F2" s="257"/>
      <c r="G2" s="257"/>
      <c r="H2" s="257"/>
      <c r="I2" s="257"/>
      <c r="J2" s="257"/>
      <c r="K2" s="142"/>
      <c r="L2" s="153"/>
    </row>
    <row r="3" spans="1:12" s="150" customFormat="1" ht="15.75">
      <c r="A3" s="1819" t="s">
        <v>481</v>
      </c>
      <c r="B3" s="1819"/>
      <c r="C3" s="1819"/>
      <c r="D3" s="1819"/>
      <c r="E3" s="1819"/>
      <c r="F3" s="1819"/>
      <c r="G3" s="1819"/>
      <c r="H3" s="1819"/>
      <c r="I3" s="1819"/>
      <c r="J3" s="1819"/>
      <c r="K3" s="1819"/>
      <c r="L3" s="1819"/>
    </row>
    <row r="4" spans="1:12">
      <c r="A4" s="1853"/>
      <c r="B4" s="1853"/>
      <c r="C4" s="1853"/>
      <c r="D4" s="1853"/>
      <c r="E4" s="1853"/>
      <c r="F4" s="1853"/>
      <c r="G4" s="1853"/>
      <c r="H4" s="1853"/>
      <c r="I4" s="1853"/>
      <c r="J4" s="1853"/>
      <c r="K4" s="1853"/>
      <c r="L4" s="1853"/>
    </row>
    <row r="5" spans="1:12" ht="12.75" thickBot="1">
      <c r="A5" s="1768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03" t="s">
        <v>458</v>
      </c>
    </row>
    <row r="6" spans="1:12" ht="12.75" customHeight="1" thickBot="1">
      <c r="A6" s="1854" t="s">
        <v>8</v>
      </c>
      <c r="B6" s="1856" t="s">
        <v>482</v>
      </c>
      <c r="C6" s="1854" t="s">
        <v>483</v>
      </c>
      <c r="D6" s="1854" t="s">
        <v>1315</v>
      </c>
      <c r="E6" s="1858" t="s">
        <v>484</v>
      </c>
      <c r="F6" s="1859"/>
      <c r="G6" s="1859"/>
      <c r="H6" s="1859"/>
      <c r="I6" s="1859"/>
      <c r="J6" s="1859"/>
      <c r="K6" s="1860"/>
      <c r="L6" s="1856" t="s">
        <v>18</v>
      </c>
    </row>
    <row r="7" spans="1:12" ht="36.75" thickBot="1">
      <c r="A7" s="1855"/>
      <c r="B7" s="1857"/>
      <c r="C7" s="1857"/>
      <c r="D7" s="1855"/>
      <c r="E7" s="1101" t="s">
        <v>1553</v>
      </c>
      <c r="F7" s="6" t="s">
        <v>1554</v>
      </c>
      <c r="G7" s="6" t="s">
        <v>2646</v>
      </c>
      <c r="H7" s="1549" t="s">
        <v>2645</v>
      </c>
      <c r="I7" s="264" t="s">
        <v>461</v>
      </c>
      <c r="J7" s="266" t="s">
        <v>462</v>
      </c>
      <c r="K7" s="267" t="s">
        <v>1313</v>
      </c>
      <c r="L7" s="1857"/>
    </row>
    <row r="8" spans="1:12" ht="13.5" customHeight="1" thickBot="1">
      <c r="A8" s="1771">
        <v>1</v>
      </c>
      <c r="B8" s="260">
        <v>2</v>
      </c>
      <c r="C8" s="255">
        <v>3</v>
      </c>
      <c r="D8" s="260">
        <v>4</v>
      </c>
      <c r="E8" s="1861">
        <v>5</v>
      </c>
      <c r="F8" s="1862"/>
      <c r="G8" s="1862"/>
      <c r="H8" s="1863"/>
      <c r="I8" s="1776">
        <v>6</v>
      </c>
      <c r="J8" s="254">
        <v>7</v>
      </c>
      <c r="K8" s="1777">
        <v>8</v>
      </c>
      <c r="L8" s="253" t="s">
        <v>485</v>
      </c>
    </row>
    <row r="9" spans="1:12" ht="12.75" thickBot="1">
      <c r="A9" s="1775" t="s">
        <v>4</v>
      </c>
      <c r="B9" s="261" t="s">
        <v>895</v>
      </c>
      <c r="C9" s="252" t="s">
        <v>19</v>
      </c>
      <c r="D9" s="265">
        <f t="shared" ref="D9:L9" si="0">SUM(D10:D10)</f>
        <v>0</v>
      </c>
      <c r="E9" s="265">
        <f t="shared" si="0"/>
        <v>0</v>
      </c>
      <c r="F9" s="263">
        <f t="shared" si="0"/>
        <v>0</v>
      </c>
      <c r="G9" s="263">
        <f t="shared" si="0"/>
        <v>0</v>
      </c>
      <c r="H9" s="1633" t="str">
        <f t="shared" ref="H9:H42" si="1">IF(ISERROR(G9/F9),"-",G9/F9)</f>
        <v>-</v>
      </c>
      <c r="I9" s="251">
        <f t="shared" si="0"/>
        <v>0</v>
      </c>
      <c r="J9" s="250">
        <f t="shared" si="0"/>
        <v>0</v>
      </c>
      <c r="K9" s="262">
        <f t="shared" si="0"/>
        <v>0</v>
      </c>
      <c r="L9" s="1774">
        <f t="shared" si="0"/>
        <v>0</v>
      </c>
    </row>
    <row r="10" spans="1:12" ht="12.75" thickBot="1">
      <c r="A10" s="249" t="s">
        <v>5</v>
      </c>
      <c r="B10" s="243" t="s">
        <v>19</v>
      </c>
      <c r="C10" s="248"/>
      <c r="D10" s="247"/>
      <c r="E10" s="246"/>
      <c r="F10" s="387"/>
      <c r="G10" s="387"/>
      <c r="H10" s="1634" t="str">
        <f t="shared" si="1"/>
        <v>-</v>
      </c>
      <c r="I10" s="245"/>
      <c r="J10" s="244"/>
      <c r="K10" s="268"/>
      <c r="L10" s="274">
        <f t="shared" ref="L10" si="2">+D10+IF(F10&lt;=G10,G10,F10)+I10+J10+K10</f>
        <v>0</v>
      </c>
    </row>
    <row r="11" spans="1:12" ht="12.75" thickBot="1">
      <c r="A11" s="1775" t="s">
        <v>6</v>
      </c>
      <c r="B11" s="275" t="s">
        <v>896</v>
      </c>
      <c r="C11" s="252" t="s">
        <v>19</v>
      </c>
      <c r="D11" s="265">
        <f t="shared" ref="D11:L11" si="3">SUM(D12:D12)</f>
        <v>0</v>
      </c>
      <c r="E11" s="265">
        <f t="shared" si="3"/>
        <v>0</v>
      </c>
      <c r="F11" s="263">
        <f t="shared" si="3"/>
        <v>0</v>
      </c>
      <c r="G11" s="263">
        <f t="shared" si="3"/>
        <v>0</v>
      </c>
      <c r="H11" s="1633" t="str">
        <f t="shared" si="1"/>
        <v>-</v>
      </c>
      <c r="I11" s="251">
        <f t="shared" si="3"/>
        <v>9999</v>
      </c>
      <c r="J11" s="250">
        <f t="shared" si="3"/>
        <v>0</v>
      </c>
      <c r="K11" s="262">
        <f t="shared" si="3"/>
        <v>0</v>
      </c>
      <c r="L11" s="1774">
        <f t="shared" si="3"/>
        <v>9999</v>
      </c>
    </row>
    <row r="12" spans="1:12" ht="12.75" thickBot="1">
      <c r="A12" s="249" t="s">
        <v>3</v>
      </c>
      <c r="B12" s="243" t="s">
        <v>2740</v>
      </c>
      <c r="C12" s="248" t="s">
        <v>460</v>
      </c>
      <c r="D12" s="276"/>
      <c r="E12" s="269"/>
      <c r="F12" s="270"/>
      <c r="G12" s="270"/>
      <c r="H12" s="1634" t="str">
        <f t="shared" si="1"/>
        <v>-</v>
      </c>
      <c r="I12" s="271">
        <v>9999</v>
      </c>
      <c r="J12" s="272"/>
      <c r="K12" s="270"/>
      <c r="L12" s="277">
        <f t="shared" ref="L12" si="4">+D12+IF(F12&lt;=G12,G12,F12)+I12+J12+K12</f>
        <v>9999</v>
      </c>
    </row>
    <row r="13" spans="1:12" ht="12.75" thickBot="1">
      <c r="A13" s="260" t="s">
        <v>16</v>
      </c>
      <c r="B13" s="278" t="s">
        <v>486</v>
      </c>
      <c r="C13" s="279" t="s">
        <v>19</v>
      </c>
      <c r="D13" s="280">
        <f t="shared" ref="D13:L13" si="5">SUM(D14:D14)</f>
        <v>0</v>
      </c>
      <c r="E13" s="281">
        <f t="shared" si="5"/>
        <v>0</v>
      </c>
      <c r="F13" s="282">
        <f t="shared" si="5"/>
        <v>0</v>
      </c>
      <c r="G13" s="282">
        <f t="shared" si="5"/>
        <v>0</v>
      </c>
      <c r="H13" s="1633" t="str">
        <f t="shared" si="1"/>
        <v>-</v>
      </c>
      <c r="I13" s="283">
        <f t="shared" si="5"/>
        <v>0</v>
      </c>
      <c r="J13" s="284">
        <f t="shared" si="5"/>
        <v>0</v>
      </c>
      <c r="K13" s="285">
        <f t="shared" si="5"/>
        <v>0</v>
      </c>
      <c r="L13" s="1774">
        <f t="shared" si="5"/>
        <v>0</v>
      </c>
    </row>
    <row r="14" spans="1:12" ht="12.75" thickBot="1">
      <c r="A14" s="286" t="s">
        <v>15</v>
      </c>
      <c r="B14" s="287" t="s">
        <v>19</v>
      </c>
      <c r="C14" s="288"/>
      <c r="D14" s="276"/>
      <c r="E14" s="289"/>
      <c r="F14" s="1210"/>
      <c r="G14" s="1210"/>
      <c r="H14" s="1634" t="str">
        <f t="shared" si="1"/>
        <v>-</v>
      </c>
      <c r="I14" s="290"/>
      <c r="J14" s="291"/>
      <c r="K14" s="292"/>
      <c r="L14" s="277">
        <f t="shared" ref="L14" si="6">+D14+IF(F14&lt;=G14,G14,F14)+I14+J14+K14</f>
        <v>0</v>
      </c>
    </row>
    <row r="15" spans="1:12" ht="12.75" thickBot="1">
      <c r="A15" s="260" t="s">
        <v>14</v>
      </c>
      <c r="B15" s="293" t="s">
        <v>487</v>
      </c>
      <c r="C15" s="279" t="s">
        <v>19</v>
      </c>
      <c r="D15" s="280">
        <f t="shared" ref="D15:L15" si="7">SUM(D16:D41)</f>
        <v>992556</v>
      </c>
      <c r="E15" s="281">
        <f t="shared" si="7"/>
        <v>2712958</v>
      </c>
      <c r="F15" s="282">
        <f t="shared" ref="F15:G15" si="8">SUM(F16:F41)</f>
        <v>1331375</v>
      </c>
      <c r="G15" s="282">
        <f t="shared" si="8"/>
        <v>1331375</v>
      </c>
      <c r="H15" s="1635">
        <f t="shared" si="1"/>
        <v>1</v>
      </c>
      <c r="I15" s="283">
        <f t="shared" si="7"/>
        <v>3423244</v>
      </c>
      <c r="J15" s="284">
        <f t="shared" si="7"/>
        <v>0</v>
      </c>
      <c r="K15" s="285">
        <f t="shared" si="7"/>
        <v>0</v>
      </c>
      <c r="L15" s="1774">
        <f t="shared" si="7"/>
        <v>5747175</v>
      </c>
    </row>
    <row r="16" spans="1:12">
      <c r="A16" s="294" t="s">
        <v>13</v>
      </c>
      <c r="B16" s="295" t="s">
        <v>1241</v>
      </c>
      <c r="C16" s="296"/>
      <c r="D16" s="297">
        <v>8997</v>
      </c>
      <c r="E16" s="790"/>
      <c r="F16" s="1211"/>
      <c r="G16" s="1211"/>
      <c r="H16" s="1636" t="str">
        <f t="shared" si="1"/>
        <v>-</v>
      </c>
      <c r="I16" s="298"/>
      <c r="J16" s="299"/>
      <c r="K16" s="300"/>
      <c r="L16" s="301">
        <f t="shared" ref="L16:L41" si="9">+D16+IF(F16&lt;=G16,G16,F16)+I16+J16+K16</f>
        <v>8997</v>
      </c>
    </row>
    <row r="17" spans="1:12">
      <c r="A17" s="294" t="s">
        <v>12</v>
      </c>
      <c r="B17" s="295" t="s">
        <v>1121</v>
      </c>
      <c r="C17" s="296"/>
      <c r="D17" s="297">
        <v>14154</v>
      </c>
      <c r="E17" s="1209">
        <v>190846</v>
      </c>
      <c r="F17" s="175">
        <v>1537</v>
      </c>
      <c r="G17" s="175">
        <v>1537</v>
      </c>
      <c r="H17" s="1636">
        <f t="shared" si="1"/>
        <v>1</v>
      </c>
      <c r="I17" s="298">
        <v>189309</v>
      </c>
      <c r="J17" s="299"/>
      <c r="K17" s="300"/>
      <c r="L17" s="301">
        <f t="shared" si="9"/>
        <v>205000</v>
      </c>
    </row>
    <row r="18" spans="1:12">
      <c r="A18" s="294" t="s">
        <v>11</v>
      </c>
      <c r="B18" s="295" t="s">
        <v>1122</v>
      </c>
      <c r="C18" s="296"/>
      <c r="D18" s="297"/>
      <c r="E18" s="1209">
        <v>177292</v>
      </c>
      <c r="F18" s="175">
        <v>0</v>
      </c>
      <c r="G18" s="175">
        <v>0</v>
      </c>
      <c r="H18" s="1636" t="str">
        <f t="shared" si="1"/>
        <v>-</v>
      </c>
      <c r="I18" s="298">
        <v>177292</v>
      </c>
      <c r="J18" s="299"/>
      <c r="K18" s="300"/>
      <c r="L18" s="301">
        <f t="shared" si="9"/>
        <v>177292</v>
      </c>
    </row>
    <row r="19" spans="1:12">
      <c r="A19" s="294" t="s">
        <v>10</v>
      </c>
      <c r="B19" s="295" t="s">
        <v>1504</v>
      </c>
      <c r="C19" s="296"/>
      <c r="D19" s="297"/>
      <c r="E19" s="1209">
        <v>438916</v>
      </c>
      <c r="F19" s="175">
        <v>29635</v>
      </c>
      <c r="G19" s="1178">
        <v>29635</v>
      </c>
      <c r="H19" s="1636">
        <f t="shared" si="1"/>
        <v>1</v>
      </c>
      <c r="I19" s="298">
        <v>587082</v>
      </c>
      <c r="J19" s="299"/>
      <c r="K19" s="300"/>
      <c r="L19" s="301">
        <f t="shared" si="9"/>
        <v>616717</v>
      </c>
    </row>
    <row r="20" spans="1:12">
      <c r="A20" s="294" t="s">
        <v>9</v>
      </c>
      <c r="B20" s="295" t="s">
        <v>1250</v>
      </c>
      <c r="C20" s="296"/>
      <c r="D20" s="297">
        <v>20468</v>
      </c>
      <c r="E20" s="1209">
        <v>268531</v>
      </c>
      <c r="F20" s="175">
        <v>3815</v>
      </c>
      <c r="G20" s="175">
        <v>3815</v>
      </c>
      <c r="H20" s="1636">
        <f t="shared" si="1"/>
        <v>1</v>
      </c>
      <c r="I20" s="298">
        <v>264717</v>
      </c>
      <c r="J20" s="299"/>
      <c r="K20" s="300"/>
      <c r="L20" s="301">
        <f t="shared" si="9"/>
        <v>289000</v>
      </c>
    </row>
    <row r="21" spans="1:12" ht="24">
      <c r="A21" s="294" t="s">
        <v>45</v>
      </c>
      <c r="B21" s="295" t="s">
        <v>1242</v>
      </c>
      <c r="C21" s="296"/>
      <c r="D21" s="297">
        <v>139886</v>
      </c>
      <c r="E21" s="1209">
        <v>7204</v>
      </c>
      <c r="F21" s="175">
        <v>7204</v>
      </c>
      <c r="G21" s="175">
        <v>7204</v>
      </c>
      <c r="H21" s="1636">
        <f t="shared" si="1"/>
        <v>1</v>
      </c>
      <c r="I21" s="298">
        <v>740</v>
      </c>
      <c r="J21" s="299"/>
      <c r="K21" s="300"/>
      <c r="L21" s="301">
        <f t="shared" si="9"/>
        <v>147830</v>
      </c>
    </row>
    <row r="22" spans="1:12">
      <c r="A22" s="294" t="s">
        <v>44</v>
      </c>
      <c r="B22" s="295" t="s">
        <v>1243</v>
      </c>
      <c r="C22" s="296"/>
      <c r="D22" s="297">
        <v>328859</v>
      </c>
      <c r="E22" s="1209">
        <v>137000</v>
      </c>
      <c r="F22" s="175">
        <v>5556</v>
      </c>
      <c r="G22" s="175">
        <v>5556</v>
      </c>
      <c r="H22" s="1636">
        <f t="shared" si="1"/>
        <v>1</v>
      </c>
      <c r="I22" s="298">
        <v>135585</v>
      </c>
      <c r="J22" s="299"/>
      <c r="K22" s="300"/>
      <c r="L22" s="301">
        <f t="shared" si="9"/>
        <v>470000</v>
      </c>
    </row>
    <row r="23" spans="1:12">
      <c r="A23" s="294" t="s">
        <v>43</v>
      </c>
      <c r="B23" s="295" t="s">
        <v>1247</v>
      </c>
      <c r="C23" s="296"/>
      <c r="D23" s="297">
        <v>37043</v>
      </c>
      <c r="E23" s="1209">
        <v>404</v>
      </c>
      <c r="F23" s="175">
        <v>579</v>
      </c>
      <c r="G23" s="175">
        <v>579</v>
      </c>
      <c r="H23" s="1636">
        <f t="shared" si="1"/>
        <v>1</v>
      </c>
      <c r="I23" s="298"/>
      <c r="J23" s="299"/>
      <c r="K23" s="300"/>
      <c r="L23" s="301">
        <f t="shared" si="9"/>
        <v>37622</v>
      </c>
    </row>
    <row r="24" spans="1:12">
      <c r="A24" s="294" t="s">
        <v>40</v>
      </c>
      <c r="B24" s="295" t="s">
        <v>1252</v>
      </c>
      <c r="C24" s="296"/>
      <c r="D24" s="297">
        <v>10864</v>
      </c>
      <c r="E24" s="1209">
        <v>8223</v>
      </c>
      <c r="F24" s="175">
        <v>4035</v>
      </c>
      <c r="G24" s="175">
        <v>4035</v>
      </c>
      <c r="H24" s="1636">
        <f t="shared" si="1"/>
        <v>1</v>
      </c>
      <c r="I24" s="298">
        <v>1654</v>
      </c>
      <c r="J24" s="299"/>
      <c r="K24" s="300"/>
      <c r="L24" s="301">
        <f t="shared" si="9"/>
        <v>16553</v>
      </c>
    </row>
    <row r="25" spans="1:12">
      <c r="A25" s="294" t="s">
        <v>39</v>
      </c>
      <c r="B25" s="295" t="s">
        <v>1244</v>
      </c>
      <c r="C25" s="296"/>
      <c r="D25" s="297">
        <v>21253</v>
      </c>
      <c r="E25" s="1209">
        <v>398746</v>
      </c>
      <c r="F25" s="175">
        <v>363429</v>
      </c>
      <c r="G25" s="175">
        <v>363429</v>
      </c>
      <c r="H25" s="1636">
        <f t="shared" si="1"/>
        <v>1</v>
      </c>
      <c r="I25" s="298">
        <v>35318</v>
      </c>
      <c r="J25" s="299"/>
      <c r="K25" s="300"/>
      <c r="L25" s="301">
        <f t="shared" si="9"/>
        <v>420000</v>
      </c>
    </row>
    <row r="26" spans="1:12" ht="24">
      <c r="A26" s="294" t="s">
        <v>38</v>
      </c>
      <c r="B26" s="295" t="s">
        <v>1245</v>
      </c>
      <c r="C26" s="296"/>
      <c r="D26" s="297">
        <v>4850</v>
      </c>
      <c r="E26" s="1209">
        <v>57792</v>
      </c>
      <c r="F26" s="175">
        <v>27717</v>
      </c>
      <c r="G26" s="175">
        <v>27717</v>
      </c>
      <c r="H26" s="1636">
        <f t="shared" si="1"/>
        <v>1</v>
      </c>
      <c r="I26" s="298">
        <v>30075</v>
      </c>
      <c r="J26" s="299"/>
      <c r="K26" s="300"/>
      <c r="L26" s="301">
        <f t="shared" si="9"/>
        <v>62642</v>
      </c>
    </row>
    <row r="27" spans="1:12" ht="24">
      <c r="A27" s="294" t="s">
        <v>36</v>
      </c>
      <c r="B27" s="295" t="s">
        <v>1246</v>
      </c>
      <c r="C27" s="296"/>
      <c r="D27" s="297"/>
      <c r="E27" s="1209">
        <v>387099</v>
      </c>
      <c r="F27" s="175">
        <v>374946</v>
      </c>
      <c r="G27" s="175">
        <v>374946</v>
      </c>
      <c r="H27" s="1636">
        <f t="shared" si="1"/>
        <v>1</v>
      </c>
      <c r="I27" s="298">
        <v>857764</v>
      </c>
      <c r="J27" s="299"/>
      <c r="K27" s="300"/>
      <c r="L27" s="301">
        <f t="shared" si="9"/>
        <v>1232710</v>
      </c>
    </row>
    <row r="28" spans="1:12">
      <c r="A28" s="294" t="s">
        <v>35</v>
      </c>
      <c r="B28" s="295" t="s">
        <v>1251</v>
      </c>
      <c r="C28" s="296"/>
      <c r="D28" s="297">
        <v>15288</v>
      </c>
      <c r="E28" s="1209">
        <f>25540+19</f>
        <v>25559</v>
      </c>
      <c r="F28" s="175">
        <v>14557</v>
      </c>
      <c r="G28" s="175">
        <v>14557</v>
      </c>
      <c r="H28" s="1636">
        <f t="shared" si="1"/>
        <v>1</v>
      </c>
      <c r="I28" s="298">
        <v>4759</v>
      </c>
      <c r="J28" s="299"/>
      <c r="K28" s="300"/>
      <c r="L28" s="301">
        <f t="shared" si="9"/>
        <v>34604</v>
      </c>
    </row>
    <row r="29" spans="1:12">
      <c r="A29" s="294" t="s">
        <v>34</v>
      </c>
      <c r="B29" s="295" t="s">
        <v>1503</v>
      </c>
      <c r="C29" s="296"/>
      <c r="D29" s="297">
        <v>60291</v>
      </c>
      <c r="E29" s="1209">
        <v>62052</v>
      </c>
      <c r="F29" s="175">
        <v>8865</v>
      </c>
      <c r="G29" s="175">
        <v>8865</v>
      </c>
      <c r="H29" s="1636">
        <f t="shared" si="1"/>
        <v>1</v>
      </c>
      <c r="I29" s="298">
        <v>40360</v>
      </c>
      <c r="J29" s="299"/>
      <c r="K29" s="300"/>
      <c r="L29" s="301">
        <f t="shared" si="9"/>
        <v>109516</v>
      </c>
    </row>
    <row r="30" spans="1:12">
      <c r="A30" s="294" t="s">
        <v>33</v>
      </c>
      <c r="B30" s="295" t="s">
        <v>1502</v>
      </c>
      <c r="C30" s="296"/>
      <c r="D30" s="297">
        <v>997</v>
      </c>
      <c r="E30" s="1209">
        <v>68272</v>
      </c>
      <c r="F30" s="175">
        <v>598</v>
      </c>
      <c r="G30" s="175">
        <v>598</v>
      </c>
      <c r="H30" s="1636">
        <f t="shared" si="1"/>
        <v>1</v>
      </c>
      <c r="I30" s="298">
        <v>67674</v>
      </c>
      <c r="J30" s="299"/>
      <c r="K30" s="300"/>
      <c r="L30" s="301">
        <f t="shared" si="9"/>
        <v>69269</v>
      </c>
    </row>
    <row r="31" spans="1:12">
      <c r="A31" s="294" t="s">
        <v>32</v>
      </c>
      <c r="B31" s="295" t="s">
        <v>1501</v>
      </c>
      <c r="C31" s="296"/>
      <c r="D31" s="297">
        <v>8274</v>
      </c>
      <c r="E31" s="1209">
        <v>173184</v>
      </c>
      <c r="F31" s="175">
        <v>172639</v>
      </c>
      <c r="G31" s="175">
        <v>172639</v>
      </c>
      <c r="H31" s="1636">
        <f t="shared" si="1"/>
        <v>1</v>
      </c>
      <c r="I31" s="298">
        <v>9405</v>
      </c>
      <c r="J31" s="299"/>
      <c r="K31" s="300"/>
      <c r="L31" s="301">
        <f t="shared" si="9"/>
        <v>190318</v>
      </c>
    </row>
    <row r="32" spans="1:12">
      <c r="A32" s="294" t="s">
        <v>472</v>
      </c>
      <c r="B32" s="295" t="s">
        <v>1500</v>
      </c>
      <c r="C32" s="296"/>
      <c r="D32" s="297">
        <v>65524</v>
      </c>
      <c r="E32" s="1209">
        <v>482</v>
      </c>
      <c r="F32" s="175">
        <v>84282</v>
      </c>
      <c r="G32" s="1178">
        <v>84282</v>
      </c>
      <c r="H32" s="1636">
        <f t="shared" si="1"/>
        <v>1</v>
      </c>
      <c r="I32" s="298"/>
      <c r="J32" s="299"/>
      <c r="K32" s="300"/>
      <c r="L32" s="301">
        <f t="shared" si="9"/>
        <v>149806</v>
      </c>
    </row>
    <row r="33" spans="1:12">
      <c r="A33" s="294" t="s">
        <v>473</v>
      </c>
      <c r="B33" s="295" t="s">
        <v>1499</v>
      </c>
      <c r="C33" s="296"/>
      <c r="D33" s="297">
        <v>78058</v>
      </c>
      <c r="E33" s="1209">
        <v>68674</v>
      </c>
      <c r="F33" s="175">
        <v>44228</v>
      </c>
      <c r="G33" s="175">
        <v>44228</v>
      </c>
      <c r="H33" s="1636">
        <f t="shared" si="1"/>
        <v>1</v>
      </c>
      <c r="I33" s="298">
        <v>18933</v>
      </c>
      <c r="J33" s="299"/>
      <c r="K33" s="300"/>
      <c r="L33" s="301">
        <f t="shared" si="9"/>
        <v>141219</v>
      </c>
    </row>
    <row r="34" spans="1:12">
      <c r="A34" s="294" t="s">
        <v>474</v>
      </c>
      <c r="B34" s="295" t="s">
        <v>1498</v>
      </c>
      <c r="C34" s="296"/>
      <c r="D34" s="297">
        <v>70028</v>
      </c>
      <c r="E34" s="1209">
        <f>31943+11</f>
        <v>31954</v>
      </c>
      <c r="F34" s="175">
        <v>53034</v>
      </c>
      <c r="G34" s="1178">
        <v>53034</v>
      </c>
      <c r="H34" s="1636">
        <f t="shared" si="1"/>
        <v>1</v>
      </c>
      <c r="I34" s="298">
        <v>54039</v>
      </c>
      <c r="J34" s="299"/>
      <c r="K34" s="300"/>
      <c r="L34" s="301">
        <f t="shared" si="9"/>
        <v>177101</v>
      </c>
    </row>
    <row r="35" spans="1:12">
      <c r="A35" s="294" t="s">
        <v>475</v>
      </c>
      <c r="B35" s="295" t="s">
        <v>1545</v>
      </c>
      <c r="C35" s="296"/>
      <c r="D35" s="297">
        <v>78730</v>
      </c>
      <c r="E35" s="1209">
        <v>48785</v>
      </c>
      <c r="F35" s="175">
        <v>78175</v>
      </c>
      <c r="G35" s="1178">
        <v>78175</v>
      </c>
      <c r="H35" s="1636">
        <f t="shared" si="1"/>
        <v>1</v>
      </c>
      <c r="I35" s="298">
        <v>95153</v>
      </c>
      <c r="J35" s="299"/>
      <c r="K35" s="300"/>
      <c r="L35" s="301">
        <f t="shared" si="9"/>
        <v>252058</v>
      </c>
    </row>
    <row r="36" spans="1:12">
      <c r="A36" s="294" t="s">
        <v>488</v>
      </c>
      <c r="B36" s="295" t="s">
        <v>1496</v>
      </c>
      <c r="C36" s="296"/>
      <c r="D36" s="297"/>
      <c r="E36" s="790"/>
      <c r="F36" s="1211">
        <v>4572</v>
      </c>
      <c r="G36" s="1178">
        <v>4572</v>
      </c>
      <c r="H36" s="1636">
        <f t="shared" si="1"/>
        <v>1</v>
      </c>
      <c r="I36" s="298">
        <v>205375</v>
      </c>
      <c r="J36" s="299"/>
      <c r="K36" s="300"/>
      <c r="L36" s="301">
        <f t="shared" si="9"/>
        <v>209947</v>
      </c>
    </row>
    <row r="37" spans="1:12">
      <c r="A37" s="294" t="s">
        <v>489</v>
      </c>
      <c r="B37" s="295" t="s">
        <v>1495</v>
      </c>
      <c r="C37" s="296"/>
      <c r="D37" s="297"/>
      <c r="E37" s="1209">
        <v>84548</v>
      </c>
      <c r="F37" s="175">
        <v>3338</v>
      </c>
      <c r="G37" s="175">
        <v>3338</v>
      </c>
      <c r="H37" s="1636">
        <f t="shared" si="1"/>
        <v>1</v>
      </c>
      <c r="I37" s="298">
        <v>81210</v>
      </c>
      <c r="J37" s="299"/>
      <c r="K37" s="300"/>
      <c r="L37" s="301">
        <f t="shared" si="9"/>
        <v>84548</v>
      </c>
    </row>
    <row r="38" spans="1:12">
      <c r="A38" s="294" t="s">
        <v>490</v>
      </c>
      <c r="B38" s="295" t="s">
        <v>1494</v>
      </c>
      <c r="C38" s="296"/>
      <c r="D38" s="297"/>
      <c r="E38" s="790"/>
      <c r="F38" s="1211">
        <v>16018</v>
      </c>
      <c r="G38" s="1178">
        <v>16018</v>
      </c>
      <c r="H38" s="1636">
        <f t="shared" si="1"/>
        <v>1</v>
      </c>
      <c r="I38" s="298">
        <v>513982</v>
      </c>
      <c r="J38" s="299"/>
      <c r="K38" s="300"/>
      <c r="L38" s="301">
        <f t="shared" si="9"/>
        <v>530000</v>
      </c>
    </row>
    <row r="39" spans="1:12">
      <c r="A39" s="294" t="s">
        <v>1536</v>
      </c>
      <c r="B39" s="295" t="s">
        <v>1493</v>
      </c>
      <c r="C39" s="296"/>
      <c r="D39" s="297"/>
      <c r="E39" s="1209">
        <v>25745</v>
      </c>
      <c r="F39" s="175">
        <v>0</v>
      </c>
      <c r="G39" s="175"/>
      <c r="H39" s="1636" t="str">
        <f t="shared" si="1"/>
        <v>-</v>
      </c>
      <c r="I39" s="298">
        <v>28285</v>
      </c>
      <c r="J39" s="299"/>
      <c r="K39" s="300"/>
      <c r="L39" s="301">
        <f t="shared" si="9"/>
        <v>28285</v>
      </c>
    </row>
    <row r="40" spans="1:12">
      <c r="A40" s="294" t="s">
        <v>1537</v>
      </c>
      <c r="B40" s="295" t="s">
        <v>1546</v>
      </c>
      <c r="C40" s="296"/>
      <c r="D40" s="297">
        <v>28992</v>
      </c>
      <c r="E40" s="1209">
        <v>51650</v>
      </c>
      <c r="F40" s="175">
        <v>32368</v>
      </c>
      <c r="G40" s="1178">
        <v>32368</v>
      </c>
      <c r="H40" s="1636">
        <f t="shared" ref="H40" si="10">IF(ISERROR(G40/F40),"-",G40/F40)</f>
        <v>1</v>
      </c>
      <c r="I40" s="298">
        <v>21708</v>
      </c>
      <c r="J40" s="299"/>
      <c r="K40" s="300"/>
      <c r="L40" s="301">
        <f t="shared" ref="L40" si="11">+D40+IF(F40&lt;=G40,G40,F40)+I40+J40+K40</f>
        <v>83068</v>
      </c>
    </row>
    <row r="41" spans="1:12" ht="12.75" thickBot="1">
      <c r="A41" s="294" t="s">
        <v>1538</v>
      </c>
      <c r="B41" s="295" t="s">
        <v>2774</v>
      </c>
      <c r="C41" s="296"/>
      <c r="D41" s="297"/>
      <c r="E41" s="1209"/>
      <c r="F41" s="175">
        <v>248</v>
      </c>
      <c r="G41" s="1178">
        <v>248</v>
      </c>
      <c r="H41" s="1636">
        <f t="shared" si="1"/>
        <v>1</v>
      </c>
      <c r="I41" s="298">
        <v>2825</v>
      </c>
      <c r="J41" s="299"/>
      <c r="K41" s="300"/>
      <c r="L41" s="301">
        <f t="shared" si="9"/>
        <v>3073</v>
      </c>
    </row>
    <row r="42" spans="1:12" ht="12.75" thickBot="1">
      <c r="A42" s="260" t="s">
        <v>1539</v>
      </c>
      <c r="B42" s="278" t="s">
        <v>491</v>
      </c>
      <c r="C42" s="279" t="s">
        <v>19</v>
      </c>
      <c r="D42" s="280">
        <f>SUM(D43:D47)</f>
        <v>9880</v>
      </c>
      <c r="E42" s="281">
        <f t="shared" ref="E42" si="12">SUM(E43:E47)</f>
        <v>31504</v>
      </c>
      <c r="F42" s="282">
        <f t="shared" ref="F42:G42" si="13">SUM(F43:F47)</f>
        <v>31504</v>
      </c>
      <c r="G42" s="282">
        <f t="shared" si="13"/>
        <v>3767</v>
      </c>
      <c r="H42" s="1635">
        <f t="shared" si="1"/>
        <v>0.11957211782630776</v>
      </c>
      <c r="I42" s="283">
        <f t="shared" ref="I42:L42" si="14">SUM(I43:I47)</f>
        <v>69565</v>
      </c>
      <c r="J42" s="284">
        <f t="shared" si="14"/>
        <v>28308</v>
      </c>
      <c r="K42" s="282">
        <f t="shared" si="14"/>
        <v>33525</v>
      </c>
      <c r="L42" s="303">
        <f t="shared" si="14"/>
        <v>172782</v>
      </c>
    </row>
    <row r="43" spans="1:12">
      <c r="A43" s="1213" t="s">
        <v>1540</v>
      </c>
      <c r="B43" s="667" t="s">
        <v>1075</v>
      </c>
      <c r="C43" s="1214" t="s">
        <v>1076</v>
      </c>
      <c r="D43" s="276"/>
      <c r="E43" s="269">
        <v>4399</v>
      </c>
      <c r="F43" s="270">
        <v>4399</v>
      </c>
      <c r="G43" s="270">
        <f>4399-3632</f>
        <v>767</v>
      </c>
      <c r="H43" s="1636">
        <f>IF(ISERROR(G42/F42),"-",G42/F42)</f>
        <v>0.11957211782630776</v>
      </c>
      <c r="I43" s="271"/>
      <c r="J43" s="272"/>
      <c r="K43" s="270"/>
      <c r="L43" s="304">
        <f t="shared" ref="L43:L47" si="15">+D43+IF(F43&lt;=G43,G43,F43)+I43+J43+K43</f>
        <v>4399</v>
      </c>
    </row>
    <row r="44" spans="1:12">
      <c r="A44" s="1213" t="s">
        <v>1541</v>
      </c>
      <c r="B44" s="667" t="s">
        <v>1146</v>
      </c>
      <c r="C44" s="1214" t="s">
        <v>445</v>
      </c>
      <c r="D44" s="247">
        <f>9000-3000</f>
        <v>6000</v>
      </c>
      <c r="E44" s="269">
        <f>2000+3000</f>
        <v>5000</v>
      </c>
      <c r="F44" s="270">
        <f>2000+3000</f>
        <v>5000</v>
      </c>
      <c r="G44" s="270">
        <v>3000</v>
      </c>
      <c r="H44" s="1636">
        <f t="shared" ref="H44:H47" si="16">IF(ISERROR(G43/F43),"-",G43/F43)</f>
        <v>0.17435780859286201</v>
      </c>
      <c r="I44" s="271">
        <v>2000</v>
      </c>
      <c r="J44" s="272">
        <v>2000</v>
      </c>
      <c r="K44" s="270">
        <f>37525-4000</f>
        <v>33525</v>
      </c>
      <c r="L44" s="304">
        <f t="shared" si="15"/>
        <v>48525</v>
      </c>
    </row>
    <row r="45" spans="1:12">
      <c r="A45" s="1213" t="s">
        <v>1549</v>
      </c>
      <c r="B45" s="667" t="s">
        <v>1489</v>
      </c>
      <c r="C45" s="1214" t="s">
        <v>459</v>
      </c>
      <c r="D45" s="247">
        <v>3880</v>
      </c>
      <c r="E45" s="269">
        <v>13205</v>
      </c>
      <c r="F45" s="270">
        <v>13205</v>
      </c>
      <c r="G45" s="270"/>
      <c r="H45" s="1636">
        <f t="shared" si="16"/>
        <v>0.6</v>
      </c>
      <c r="I45" s="271">
        <v>19807</v>
      </c>
      <c r="J45" s="272">
        <v>19808</v>
      </c>
      <c r="K45" s="270"/>
      <c r="L45" s="304">
        <f t="shared" si="15"/>
        <v>56700</v>
      </c>
    </row>
    <row r="46" spans="1:12">
      <c r="A46" s="1213" t="s">
        <v>1560</v>
      </c>
      <c r="B46" s="667" t="s">
        <v>1490</v>
      </c>
      <c r="C46" s="1214" t="s">
        <v>459</v>
      </c>
      <c r="D46" s="247"/>
      <c r="E46" s="269">
        <v>8900</v>
      </c>
      <c r="F46" s="270">
        <v>8900</v>
      </c>
      <c r="G46" s="270"/>
      <c r="H46" s="1636">
        <f t="shared" si="16"/>
        <v>0</v>
      </c>
      <c r="I46" s="271">
        <v>6500</v>
      </c>
      <c r="J46" s="272">
        <v>6500</v>
      </c>
      <c r="K46" s="270"/>
      <c r="L46" s="304">
        <f t="shared" si="15"/>
        <v>21900</v>
      </c>
    </row>
    <row r="47" spans="1:12" ht="12.75" thickBot="1">
      <c r="A47" s="1213" t="s">
        <v>2773</v>
      </c>
      <c r="B47" s="667" t="s">
        <v>1561</v>
      </c>
      <c r="C47" s="1214" t="s">
        <v>460</v>
      </c>
      <c r="D47" s="1212"/>
      <c r="E47" s="269"/>
      <c r="F47" s="270"/>
      <c r="G47" s="270"/>
      <c r="H47" s="1636">
        <f t="shared" si="16"/>
        <v>0</v>
      </c>
      <c r="I47" s="271">
        <v>41258</v>
      </c>
      <c r="J47" s="272"/>
      <c r="K47" s="270"/>
      <c r="L47" s="304">
        <f t="shared" si="15"/>
        <v>41258</v>
      </c>
    </row>
    <row r="48" spans="1:12" ht="12.75" thickBot="1">
      <c r="A48" s="1851" t="s">
        <v>1550</v>
      </c>
      <c r="B48" s="1852"/>
      <c r="C48" s="302" t="s">
        <v>19</v>
      </c>
      <c r="D48" s="265">
        <f t="shared" ref="D48:L48" si="17">+D9+D11+D13+D15+D42</f>
        <v>1002436</v>
      </c>
      <c r="E48" s="265">
        <f t="shared" si="17"/>
        <v>2744462</v>
      </c>
      <c r="F48" s="263">
        <f t="shared" ref="F48:G48" si="18">+F9+F11+F13+F15+F42</f>
        <v>1362879</v>
      </c>
      <c r="G48" s="263">
        <f t="shared" si="18"/>
        <v>1335142</v>
      </c>
      <c r="H48" s="1635">
        <f t="shared" ref="H48" si="19">IF(ISERROR(G48/F48),"-",G48/F48)</f>
        <v>0.97964822996025325</v>
      </c>
      <c r="I48" s="251">
        <f t="shared" si="17"/>
        <v>3502808</v>
      </c>
      <c r="J48" s="250">
        <f t="shared" si="17"/>
        <v>28308</v>
      </c>
      <c r="K48" s="263">
        <f t="shared" si="17"/>
        <v>33525</v>
      </c>
      <c r="L48" s="303">
        <f t="shared" si="17"/>
        <v>5929956</v>
      </c>
    </row>
  </sheetData>
  <mergeCells count="10">
    <mergeCell ref="A48:B48"/>
    <mergeCell ref="A3:L3"/>
    <mergeCell ref="A4:L4"/>
    <mergeCell ref="A6:A7"/>
    <mergeCell ref="B6:B7"/>
    <mergeCell ref="C6:C7"/>
    <mergeCell ref="D6:D7"/>
    <mergeCell ref="L6:L7"/>
    <mergeCell ref="E6:K6"/>
    <mergeCell ref="E8:H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7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20">
    <tabColor rgb="FF00B0F0"/>
    <pageSetUpPr fitToPage="1"/>
  </sheetPr>
  <dimension ref="A1:M25"/>
  <sheetViews>
    <sheetView zoomScaleNormal="100" workbookViewId="0"/>
  </sheetViews>
  <sheetFormatPr defaultColWidth="15.28515625" defaultRowHeight="12"/>
  <cols>
    <col min="1" max="1" width="5.140625" style="380" customWidth="1"/>
    <col min="2" max="2" width="51.28515625" style="380" bestFit="1" customWidth="1"/>
    <col min="3" max="8" width="16.7109375" style="380" customWidth="1"/>
    <col min="9" max="10" width="16.7109375" style="148" customWidth="1"/>
    <col min="11" max="11" width="15.28515625" style="380"/>
    <col min="12" max="13" width="15.28515625" style="380" hidden="1" customWidth="1"/>
    <col min="14" max="16384" width="15.28515625" style="380"/>
  </cols>
  <sheetData>
    <row r="1" spans="1:12" s="541" customFormat="1" ht="15.75">
      <c r="A1" s="540"/>
      <c r="B1" s="540"/>
      <c r="C1" s="540"/>
      <c r="D1" s="153"/>
      <c r="E1" s="540"/>
      <c r="F1" s="153"/>
      <c r="G1" s="540"/>
      <c r="H1" s="153"/>
      <c r="I1" s="142"/>
      <c r="J1" s="153" t="s">
        <v>493</v>
      </c>
    </row>
    <row r="2" spans="1:12" s="541" customFormat="1" ht="15.75">
      <c r="A2" s="540"/>
      <c r="B2" s="540"/>
      <c r="C2" s="540"/>
      <c r="D2" s="153"/>
      <c r="E2" s="540"/>
      <c r="F2" s="153"/>
      <c r="G2" s="540"/>
      <c r="H2" s="153"/>
      <c r="I2" s="142"/>
      <c r="J2" s="153"/>
    </row>
    <row r="3" spans="1:12" s="792" customFormat="1" ht="15.75">
      <c r="A3" s="1819" t="s">
        <v>1316</v>
      </c>
      <c r="B3" s="1819"/>
      <c r="C3" s="1819"/>
      <c r="D3" s="1819"/>
      <c r="E3" s="1819"/>
      <c r="F3" s="1819"/>
      <c r="G3" s="1819"/>
      <c r="H3" s="1819"/>
      <c r="I3" s="1819"/>
      <c r="J3" s="1819"/>
    </row>
    <row r="4" spans="1:12" s="792" customFormat="1" ht="15.75">
      <c r="A4" s="1864" t="s">
        <v>494</v>
      </c>
      <c r="B4" s="1864"/>
      <c r="C4" s="1864"/>
      <c r="D4" s="1864"/>
      <c r="E4" s="1864"/>
      <c r="F4" s="1864"/>
      <c r="G4" s="1864"/>
      <c r="H4" s="1864"/>
      <c r="I4" s="1864"/>
      <c r="J4" s="1864"/>
    </row>
    <row r="5" spans="1:12" ht="12.75" thickBot="1">
      <c r="A5" s="318"/>
      <c r="B5" s="317"/>
      <c r="C5" s="317"/>
      <c r="D5" s="316"/>
      <c r="E5" s="317"/>
      <c r="F5" s="316"/>
      <c r="G5" s="317"/>
      <c r="H5" s="316"/>
      <c r="I5" s="317"/>
      <c r="J5" s="316" t="s">
        <v>458</v>
      </c>
    </row>
    <row r="6" spans="1:12" ht="48.75" thickBot="1">
      <c r="A6" s="256" t="s">
        <v>17</v>
      </c>
      <c r="B6" s="320" t="s">
        <v>50</v>
      </c>
      <c r="C6" s="320" t="s">
        <v>1556</v>
      </c>
      <c r="D6" s="319" t="s">
        <v>1557</v>
      </c>
      <c r="E6" s="320" t="s">
        <v>1558</v>
      </c>
      <c r="F6" s="319" t="s">
        <v>1559</v>
      </c>
      <c r="G6" s="320" t="s">
        <v>2659</v>
      </c>
      <c r="H6" s="319" t="s">
        <v>2660</v>
      </c>
      <c r="I6" s="1637" t="s">
        <v>2645</v>
      </c>
      <c r="J6" s="1638" t="s">
        <v>2645</v>
      </c>
    </row>
    <row r="7" spans="1:12" ht="12.75" thickBot="1">
      <c r="A7" s="256">
        <v>1</v>
      </c>
      <c r="B7" s="320">
        <v>2</v>
      </c>
      <c r="C7" s="320">
        <v>3</v>
      </c>
      <c r="D7" s="319">
        <v>4</v>
      </c>
      <c r="E7" s="320">
        <v>5</v>
      </c>
      <c r="F7" s="319">
        <v>6</v>
      </c>
      <c r="G7" s="320">
        <v>7</v>
      </c>
      <c r="H7" s="319">
        <v>8</v>
      </c>
      <c r="I7" s="320">
        <v>9</v>
      </c>
      <c r="J7" s="319">
        <v>10</v>
      </c>
    </row>
    <row r="8" spans="1:12">
      <c r="A8" s="315" t="s">
        <v>4</v>
      </c>
      <c r="B8" s="314" t="s">
        <v>495</v>
      </c>
      <c r="C8" s="307"/>
      <c r="D8" s="292"/>
      <c r="E8" s="307"/>
      <c r="F8" s="292"/>
      <c r="G8" s="307"/>
      <c r="H8" s="292"/>
      <c r="I8" s="1639" t="str">
        <f>IF(ISERROR(G8/E8),"-",G8/E8)</f>
        <v>-</v>
      </c>
      <c r="J8" s="1640" t="str">
        <f t="shared" ref="J8:J25" si="0">IF(ISERROR(H8/F8),"-",H8/F8)</f>
        <v>-</v>
      </c>
    </row>
    <row r="9" spans="1:12">
      <c r="A9" s="313" t="s">
        <v>5</v>
      </c>
      <c r="B9" s="312" t="s">
        <v>496</v>
      </c>
      <c r="C9" s="306"/>
      <c r="D9" s="273"/>
      <c r="E9" s="306"/>
      <c r="F9" s="273"/>
      <c r="G9" s="306"/>
      <c r="H9" s="273"/>
      <c r="I9" s="1641" t="str">
        <f t="shared" ref="I9:I25" si="1">IF(ISERROR(G9/E9),"-",G9/E9)</f>
        <v>-</v>
      </c>
      <c r="J9" s="1642" t="str">
        <f t="shared" si="0"/>
        <v>-</v>
      </c>
    </row>
    <row r="10" spans="1:12">
      <c r="A10" s="313" t="s">
        <v>6</v>
      </c>
      <c r="B10" s="312" t="s">
        <v>497</v>
      </c>
      <c r="C10" s="306"/>
      <c r="D10" s="273"/>
      <c r="E10" s="306"/>
      <c r="F10" s="273"/>
      <c r="G10" s="306"/>
      <c r="H10" s="273"/>
      <c r="I10" s="1641" t="str">
        <f t="shared" si="1"/>
        <v>-</v>
      </c>
      <c r="J10" s="1642" t="str">
        <f t="shared" si="0"/>
        <v>-</v>
      </c>
    </row>
    <row r="11" spans="1:12">
      <c r="A11" s="313" t="s">
        <v>3</v>
      </c>
      <c r="B11" s="312" t="s">
        <v>498</v>
      </c>
      <c r="C11" s="306"/>
      <c r="D11" s="273"/>
      <c r="E11" s="306"/>
      <c r="F11" s="273"/>
      <c r="G11" s="306"/>
      <c r="H11" s="273"/>
      <c r="I11" s="1641" t="str">
        <f t="shared" si="1"/>
        <v>-</v>
      </c>
      <c r="J11" s="1642" t="str">
        <f t="shared" si="0"/>
        <v>-</v>
      </c>
    </row>
    <row r="12" spans="1:12">
      <c r="A12" s="313" t="s">
        <v>16</v>
      </c>
      <c r="B12" s="312" t="s">
        <v>499</v>
      </c>
      <c r="C12" s="306">
        <f t="shared" ref="C12:H12" si="2">+C13+C14+C15+C16+C17+C18+C19</f>
        <v>347800</v>
      </c>
      <c r="D12" s="651">
        <f t="shared" si="2"/>
        <v>5680</v>
      </c>
      <c r="E12" s="306">
        <f t="shared" si="2"/>
        <v>347800</v>
      </c>
      <c r="F12" s="651">
        <f t="shared" si="2"/>
        <v>5680</v>
      </c>
      <c r="G12" s="306">
        <f t="shared" si="2"/>
        <v>368106</v>
      </c>
      <c r="H12" s="651">
        <f t="shared" si="2"/>
        <v>5213</v>
      </c>
      <c r="I12" s="1641">
        <f t="shared" si="1"/>
        <v>1.0583841288096607</v>
      </c>
      <c r="J12" s="1643">
        <f t="shared" si="0"/>
        <v>0.9177816901408451</v>
      </c>
    </row>
    <row r="13" spans="1:12">
      <c r="A13" s="313" t="s">
        <v>227</v>
      </c>
      <c r="B13" s="311" t="s">
        <v>500</v>
      </c>
      <c r="C13" s="305">
        <v>31000</v>
      </c>
      <c r="D13" s="791"/>
      <c r="E13" s="305">
        <v>31000</v>
      </c>
      <c r="F13" s="791"/>
      <c r="G13" s="305">
        <f>32734+1</f>
        <v>32735</v>
      </c>
      <c r="H13" s="791"/>
      <c r="I13" s="1641">
        <f t="shared" si="1"/>
        <v>1.0559677419354838</v>
      </c>
      <c r="J13" s="1642" t="str">
        <f t="shared" si="0"/>
        <v>-</v>
      </c>
    </row>
    <row r="14" spans="1:12">
      <c r="A14" s="313" t="s">
        <v>228</v>
      </c>
      <c r="B14" s="311" t="s">
        <v>501</v>
      </c>
      <c r="C14" s="305">
        <v>11000</v>
      </c>
      <c r="D14" s="791"/>
      <c r="E14" s="305">
        <v>11000</v>
      </c>
      <c r="F14" s="791"/>
      <c r="G14" s="305">
        <v>10148</v>
      </c>
      <c r="H14" s="791"/>
      <c r="I14" s="1641">
        <f t="shared" si="1"/>
        <v>0.92254545454545456</v>
      </c>
      <c r="J14" s="1642" t="str">
        <f t="shared" si="0"/>
        <v>-</v>
      </c>
    </row>
    <row r="15" spans="1:12">
      <c r="A15" s="313" t="s">
        <v>229</v>
      </c>
      <c r="B15" s="311" t="s">
        <v>502</v>
      </c>
      <c r="C15" s="305"/>
      <c r="D15" s="791"/>
      <c r="E15" s="305"/>
      <c r="F15" s="791"/>
      <c r="G15" s="305"/>
      <c r="H15" s="791"/>
      <c r="I15" s="1641" t="str">
        <f t="shared" si="1"/>
        <v>-</v>
      </c>
      <c r="J15" s="1642" t="str">
        <f t="shared" si="0"/>
        <v>-</v>
      </c>
    </row>
    <row r="16" spans="1:12">
      <c r="A16" s="313" t="s">
        <v>257</v>
      </c>
      <c r="B16" s="311" t="s">
        <v>503</v>
      </c>
      <c r="C16" s="305">
        <v>23326</v>
      </c>
      <c r="D16" s="791">
        <f>3229+97</f>
        <v>3326</v>
      </c>
      <c r="E16" s="305">
        <v>23326</v>
      </c>
      <c r="F16" s="791">
        <f>3229+97</f>
        <v>3326</v>
      </c>
      <c r="G16" s="305">
        <f>21087+1+3144</f>
        <v>24232</v>
      </c>
      <c r="H16" s="791">
        <f>3099+7+38</f>
        <v>3144</v>
      </c>
      <c r="I16" s="1641">
        <f t="shared" si="1"/>
        <v>1.0388407785303952</v>
      </c>
      <c r="J16" s="1642">
        <f t="shared" si="0"/>
        <v>0.94527961515333736</v>
      </c>
      <c r="L16" s="548"/>
    </row>
    <row r="17" spans="1:13">
      <c r="A17" s="313" t="s">
        <v>258</v>
      </c>
      <c r="B17" s="311" t="s">
        <v>504</v>
      </c>
      <c r="C17" s="305">
        <v>120</v>
      </c>
      <c r="D17" s="791"/>
      <c r="E17" s="305">
        <v>120</v>
      </c>
      <c r="F17" s="791"/>
      <c r="G17" s="305">
        <v>192</v>
      </c>
      <c r="H17" s="791"/>
      <c r="I17" s="1641">
        <f t="shared" si="1"/>
        <v>1.6</v>
      </c>
      <c r="J17" s="1642" t="str">
        <f t="shared" si="0"/>
        <v>-</v>
      </c>
    </row>
    <row r="18" spans="1:13">
      <c r="A18" s="313" t="s">
        <v>259</v>
      </c>
      <c r="B18" s="311" t="s">
        <v>505</v>
      </c>
      <c r="C18" s="305"/>
      <c r="D18" s="791"/>
      <c r="E18" s="305"/>
      <c r="F18" s="791"/>
      <c r="G18" s="305"/>
      <c r="H18" s="791"/>
      <c r="I18" s="1641" t="str">
        <f t="shared" si="1"/>
        <v>-</v>
      </c>
      <c r="J18" s="1642" t="str">
        <f t="shared" si="0"/>
        <v>-</v>
      </c>
    </row>
    <row r="19" spans="1:13">
      <c r="A19" s="313" t="s">
        <v>260</v>
      </c>
      <c r="B19" s="311" t="s">
        <v>506</v>
      </c>
      <c r="C19" s="305">
        <v>282354</v>
      </c>
      <c r="D19" s="791">
        <v>2354</v>
      </c>
      <c r="E19" s="305">
        <v>282354</v>
      </c>
      <c r="F19" s="791">
        <v>2354</v>
      </c>
      <c r="G19" s="305">
        <f>298730+2069</f>
        <v>300799</v>
      </c>
      <c r="H19" s="791">
        <v>2069</v>
      </c>
      <c r="I19" s="1641">
        <f t="shared" si="1"/>
        <v>1.065325796694929</v>
      </c>
      <c r="J19" s="1642">
        <f t="shared" si="0"/>
        <v>0.87892948173322005</v>
      </c>
      <c r="L19" s="548"/>
    </row>
    <row r="20" spans="1:13">
      <c r="A20" s="313" t="s">
        <v>15</v>
      </c>
      <c r="B20" s="312" t="s">
        <v>507</v>
      </c>
      <c r="C20" s="306"/>
      <c r="D20" s="273"/>
      <c r="E20" s="306"/>
      <c r="F20" s="273"/>
      <c r="G20" s="306"/>
      <c r="H20" s="273"/>
      <c r="I20" s="1641" t="str">
        <f t="shared" si="1"/>
        <v>-</v>
      </c>
      <c r="J20" s="1642" t="str">
        <f t="shared" si="0"/>
        <v>-</v>
      </c>
    </row>
    <row r="21" spans="1:13">
      <c r="A21" s="313" t="s">
        <v>14</v>
      </c>
      <c r="B21" s="312" t="s">
        <v>508</v>
      </c>
      <c r="C21" s="306"/>
      <c r="D21" s="273"/>
      <c r="E21" s="306"/>
      <c r="F21" s="273"/>
      <c r="G21" s="306"/>
      <c r="H21" s="273"/>
      <c r="I21" s="1641" t="str">
        <f t="shared" si="1"/>
        <v>-</v>
      </c>
      <c r="J21" s="1642" t="str">
        <f t="shared" si="0"/>
        <v>-</v>
      </c>
    </row>
    <row r="22" spans="1:13">
      <c r="A22" s="313" t="s">
        <v>13</v>
      </c>
      <c r="B22" s="312" t="s">
        <v>509</v>
      </c>
      <c r="C22" s="306"/>
      <c r="D22" s="273"/>
      <c r="E22" s="306"/>
      <c r="F22" s="273"/>
      <c r="G22" s="306"/>
      <c r="H22" s="273"/>
      <c r="I22" s="1641" t="str">
        <f t="shared" si="1"/>
        <v>-</v>
      </c>
      <c r="J22" s="1642" t="str">
        <f t="shared" si="0"/>
        <v>-</v>
      </c>
    </row>
    <row r="23" spans="1:13">
      <c r="A23" s="313" t="s">
        <v>12</v>
      </c>
      <c r="B23" s="312" t="s">
        <v>510</v>
      </c>
      <c r="C23" s="306"/>
      <c r="D23" s="273"/>
      <c r="E23" s="306"/>
      <c r="F23" s="273"/>
      <c r="G23" s="306"/>
      <c r="H23" s="273"/>
      <c r="I23" s="1641" t="str">
        <f t="shared" si="1"/>
        <v>-</v>
      </c>
      <c r="J23" s="1642" t="str">
        <f t="shared" si="0"/>
        <v>-</v>
      </c>
    </row>
    <row r="24" spans="1:13" ht="12.75" thickBot="1">
      <c r="A24" s="652" t="s">
        <v>11</v>
      </c>
      <c r="B24" s="653" t="s">
        <v>511</v>
      </c>
      <c r="C24" s="654"/>
      <c r="D24" s="655"/>
      <c r="E24" s="654"/>
      <c r="F24" s="655"/>
      <c r="G24" s="654"/>
      <c r="H24" s="655"/>
      <c r="I24" s="1644" t="str">
        <f t="shared" si="1"/>
        <v>-</v>
      </c>
      <c r="J24" s="1645" t="str">
        <f t="shared" si="0"/>
        <v>-</v>
      </c>
    </row>
    <row r="25" spans="1:13" ht="12.75" thickBot="1">
      <c r="A25" s="309" t="s">
        <v>10</v>
      </c>
      <c r="B25" s="321" t="s">
        <v>441</v>
      </c>
      <c r="C25" s="321">
        <f t="shared" ref="C25:H25" si="3">+C8+C9+C10+C11+C12+C20+C21+C22+C23+C24</f>
        <v>347800</v>
      </c>
      <c r="D25" s="308">
        <f t="shared" si="3"/>
        <v>5680</v>
      </c>
      <c r="E25" s="321">
        <f t="shared" si="3"/>
        <v>347800</v>
      </c>
      <c r="F25" s="308">
        <f t="shared" si="3"/>
        <v>5680</v>
      </c>
      <c r="G25" s="321">
        <f t="shared" si="3"/>
        <v>368106</v>
      </c>
      <c r="H25" s="308">
        <f t="shared" si="3"/>
        <v>5213</v>
      </c>
      <c r="I25" s="1637">
        <f t="shared" si="1"/>
        <v>1.0583841288096607</v>
      </c>
      <c r="J25" s="1638">
        <f t="shared" si="0"/>
        <v>0.9177816901408451</v>
      </c>
      <c r="L25" s="547">
        <f>63970+1+298730+192</f>
        <v>362893</v>
      </c>
      <c r="M25" s="547">
        <f>+G25-H25-L25</f>
        <v>0</v>
      </c>
    </row>
  </sheetData>
  <mergeCells count="2">
    <mergeCell ref="A3:J3"/>
    <mergeCell ref="A4:J4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7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21">
    <tabColor rgb="FF00B0F0"/>
    <pageSetUpPr fitToPage="1"/>
  </sheetPr>
  <dimension ref="A1:AF39"/>
  <sheetViews>
    <sheetView zoomScaleNormal="100" workbookViewId="0"/>
  </sheetViews>
  <sheetFormatPr defaultRowHeight="12"/>
  <cols>
    <col min="1" max="1" width="4.85546875" style="380" customWidth="1"/>
    <col min="2" max="2" width="44" style="380" bestFit="1" customWidth="1"/>
    <col min="3" max="5" width="10.28515625" style="380" customWidth="1"/>
    <col min="6" max="6" width="10.28515625" style="1621" customWidth="1"/>
    <col min="7" max="20" width="10.28515625" style="380" customWidth="1"/>
    <col min="21" max="23" width="9.140625" style="148" hidden="1" customWidth="1"/>
    <col min="24" max="32" width="9.140625" style="380" hidden="1" customWidth="1"/>
    <col min="33" max="35" width="9.140625" style="380" customWidth="1"/>
    <col min="36" max="16384" width="9.140625" style="380"/>
  </cols>
  <sheetData>
    <row r="1" spans="1:32" s="541" customFormat="1" ht="15.75">
      <c r="A1" s="540"/>
      <c r="B1" s="540"/>
      <c r="C1" s="540"/>
      <c r="D1" s="540"/>
      <c r="E1" s="540"/>
      <c r="F1" s="162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153" t="s">
        <v>841</v>
      </c>
      <c r="T1" s="153"/>
      <c r="U1" s="149"/>
      <c r="V1" s="149"/>
      <c r="W1" s="149"/>
      <c r="Y1" s="699"/>
      <c r="Z1" s="699"/>
      <c r="AA1" s="699"/>
      <c r="AB1" s="699"/>
      <c r="AC1" s="699"/>
      <c r="AD1" s="699"/>
      <c r="AE1" s="699"/>
      <c r="AF1" s="699"/>
    </row>
    <row r="2" spans="1:32" s="541" customFormat="1" ht="16.5" thickBot="1">
      <c r="A2" s="540"/>
      <c r="B2" s="540"/>
      <c r="C2" s="540"/>
      <c r="D2" s="540"/>
      <c r="E2" s="540"/>
      <c r="F2" s="162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153"/>
      <c r="T2" s="153"/>
      <c r="U2" s="149"/>
      <c r="V2" s="149"/>
      <c r="W2" s="149"/>
      <c r="Y2" s="699"/>
      <c r="Z2" s="699">
        <v>3</v>
      </c>
      <c r="AA2" s="699">
        <v>5</v>
      </c>
      <c r="AB2" s="699">
        <v>7</v>
      </c>
      <c r="AC2" s="699">
        <v>9</v>
      </c>
      <c r="AD2" s="699">
        <v>12</v>
      </c>
      <c r="AE2" s="699"/>
      <c r="AF2" s="699"/>
    </row>
    <row r="3" spans="1:32" s="792" customFormat="1" ht="16.5" thickBot="1">
      <c r="A3" s="1865" t="s">
        <v>2641</v>
      </c>
      <c r="B3" s="1865"/>
      <c r="C3" s="1865"/>
      <c r="D3" s="1865"/>
      <c r="E3" s="1865"/>
      <c r="F3" s="1865"/>
      <c r="G3" s="1865"/>
      <c r="H3" s="1865"/>
      <c r="I3" s="1865"/>
      <c r="J3" s="1865"/>
      <c r="K3" s="1865"/>
      <c r="L3" s="1865"/>
      <c r="M3" s="1865"/>
      <c r="N3" s="1865"/>
      <c r="O3" s="1865"/>
      <c r="P3" s="1865"/>
      <c r="Q3" s="1865"/>
      <c r="R3" s="1865"/>
      <c r="S3" s="1865"/>
      <c r="T3" s="847"/>
      <c r="U3" s="150"/>
      <c r="V3" s="150"/>
      <c r="W3" s="150"/>
      <c r="Y3" s="997" t="s">
        <v>963</v>
      </c>
      <c r="Z3" s="998" t="s">
        <v>515</v>
      </c>
      <c r="AA3" s="999" t="s">
        <v>517</v>
      </c>
      <c r="AB3" s="999" t="s">
        <v>519</v>
      </c>
      <c r="AC3" s="999" t="s">
        <v>521</v>
      </c>
      <c r="AD3" s="1000" t="s">
        <v>964</v>
      </c>
      <c r="AE3" s="1001" t="s">
        <v>18</v>
      </c>
      <c r="AF3" s="699"/>
    </row>
    <row r="4" spans="1:32" ht="12.75" thickBot="1">
      <c r="A4" s="820"/>
      <c r="B4" s="820"/>
      <c r="C4" s="820"/>
      <c r="D4" s="820"/>
      <c r="E4" s="820"/>
      <c r="G4" s="820"/>
      <c r="H4" s="820"/>
      <c r="I4" s="820"/>
      <c r="J4" s="820"/>
      <c r="K4" s="820"/>
      <c r="L4" s="820"/>
      <c r="M4" s="820"/>
      <c r="N4" s="820"/>
      <c r="O4" s="820"/>
      <c r="P4" s="820"/>
      <c r="Q4" s="820"/>
      <c r="R4" s="820"/>
      <c r="S4" s="350" t="s">
        <v>49</v>
      </c>
      <c r="T4" s="350"/>
      <c r="Y4" s="1002" t="s">
        <v>965</v>
      </c>
      <c r="Z4" s="1003">
        <v>120000</v>
      </c>
      <c r="AA4" s="1004">
        <v>10000</v>
      </c>
      <c r="AB4" s="1004">
        <v>0</v>
      </c>
      <c r="AC4" s="1004">
        <v>120000</v>
      </c>
      <c r="AD4" s="1005">
        <v>30000</v>
      </c>
      <c r="AE4" s="1006">
        <f t="shared" ref="AE4:AE11" si="0">SUM(Z4:AD4)</f>
        <v>280000</v>
      </c>
      <c r="AF4" s="699">
        <v>280000</v>
      </c>
    </row>
    <row r="5" spans="1:32" ht="36.75" thickBot="1">
      <c r="A5" s="330" t="s">
        <v>17</v>
      </c>
      <c r="B5" s="331" t="s">
        <v>7</v>
      </c>
      <c r="C5" s="1101" t="s">
        <v>1553</v>
      </c>
      <c r="D5" s="6" t="s">
        <v>1554</v>
      </c>
      <c r="E5" s="6" t="s">
        <v>2646</v>
      </c>
      <c r="F5" s="1549" t="s">
        <v>2645</v>
      </c>
      <c r="G5" s="337" t="s">
        <v>513</v>
      </c>
      <c r="H5" s="329" t="s">
        <v>514</v>
      </c>
      <c r="I5" s="329" t="s">
        <v>515</v>
      </c>
      <c r="J5" s="329" t="s">
        <v>516</v>
      </c>
      <c r="K5" s="329" t="s">
        <v>517</v>
      </c>
      <c r="L5" s="329" t="s">
        <v>518</v>
      </c>
      <c r="M5" s="329" t="s">
        <v>519</v>
      </c>
      <c r="N5" s="329" t="s">
        <v>520</v>
      </c>
      <c r="O5" s="329" t="s">
        <v>521</v>
      </c>
      <c r="P5" s="329" t="s">
        <v>522</v>
      </c>
      <c r="Q5" s="329" t="s">
        <v>523</v>
      </c>
      <c r="R5" s="329" t="s">
        <v>524</v>
      </c>
      <c r="S5" s="332" t="s">
        <v>441</v>
      </c>
      <c r="T5" s="696"/>
      <c r="Y5" s="1007" t="s">
        <v>966</v>
      </c>
      <c r="Z5" s="1008">
        <f>8000+4000</f>
        <v>12000</v>
      </c>
      <c r="AA5" s="1009">
        <f>2000+1000</f>
        <v>3000</v>
      </c>
      <c r="AB5" s="1009">
        <v>0</v>
      </c>
      <c r="AC5" s="1009">
        <f>2000+1000</f>
        <v>3000</v>
      </c>
      <c r="AD5" s="1010">
        <v>2000</v>
      </c>
      <c r="AE5" s="1011">
        <f t="shared" si="0"/>
        <v>20000</v>
      </c>
      <c r="AF5" s="700">
        <v>20000</v>
      </c>
    </row>
    <row r="6" spans="1:32" ht="12.75" thickBot="1">
      <c r="A6" s="328"/>
      <c r="B6" s="1866" t="s">
        <v>525</v>
      </c>
      <c r="C6" s="1867"/>
      <c r="D6" s="1867"/>
      <c r="E6" s="1867"/>
      <c r="F6" s="1868"/>
      <c r="G6" s="1867"/>
      <c r="H6" s="1867"/>
      <c r="I6" s="1867"/>
      <c r="J6" s="1867"/>
      <c r="K6" s="1867"/>
      <c r="L6" s="1867"/>
      <c r="M6" s="1867"/>
      <c r="N6" s="1867"/>
      <c r="O6" s="1867"/>
      <c r="P6" s="1867"/>
      <c r="Q6" s="1867"/>
      <c r="R6" s="1867"/>
      <c r="S6" s="1869"/>
      <c r="T6" s="848"/>
      <c r="U6" s="547"/>
      <c r="Y6" s="1007" t="s">
        <v>967</v>
      </c>
      <c r="Z6" s="1008">
        <v>11500</v>
      </c>
      <c r="AA6" s="1009">
        <v>4000</v>
      </c>
      <c r="AB6" s="1009">
        <v>0</v>
      </c>
      <c r="AC6" s="1009">
        <v>11500</v>
      </c>
      <c r="AD6" s="1010">
        <v>4000</v>
      </c>
      <c r="AE6" s="1011">
        <f t="shared" si="0"/>
        <v>31000</v>
      </c>
      <c r="AF6" s="701">
        <v>31000</v>
      </c>
    </row>
    <row r="7" spans="1:32">
      <c r="A7" s="327" t="s">
        <v>4</v>
      </c>
      <c r="B7" s="326" t="s">
        <v>530</v>
      </c>
      <c r="C7" s="1215">
        <f>+'1.mell._Össz_Mérleg2019'!C11</f>
        <v>962806</v>
      </c>
      <c r="D7" s="1215">
        <f>+'1.mell._Össz_Mérleg2019'!D11</f>
        <v>1466167</v>
      </c>
      <c r="E7" s="1215">
        <f>+'1.mell._Össz_Mérleg2019'!E11</f>
        <v>1466167</v>
      </c>
      <c r="F7" s="1646">
        <f t="shared" ref="F7:F16" si="1">IF(ISERROR(E7/D7),"-",E7/D7)</f>
        <v>1</v>
      </c>
      <c r="G7" s="992">
        <v>107018</v>
      </c>
      <c r="H7" s="993">
        <v>208180</v>
      </c>
      <c r="I7" s="993">
        <v>158762</v>
      </c>
      <c r="J7" s="993">
        <v>86126</v>
      </c>
      <c r="K7" s="993">
        <v>76831</v>
      </c>
      <c r="L7" s="993">
        <v>117640</v>
      </c>
      <c r="M7" s="993">
        <v>87355</v>
      </c>
      <c r="N7" s="993">
        <v>155836</v>
      </c>
      <c r="O7" s="993">
        <v>188903</v>
      </c>
      <c r="P7" s="993">
        <v>76506</v>
      </c>
      <c r="Q7" s="993">
        <v>78123</v>
      </c>
      <c r="R7" s="993">
        <v>124887</v>
      </c>
      <c r="S7" s="325">
        <f>SUM(G7:R7)</f>
        <v>1466167</v>
      </c>
      <c r="T7" s="697"/>
      <c r="U7" s="547">
        <f>+E7-S7</f>
        <v>0</v>
      </c>
      <c r="V7" s="148">
        <f t="shared" ref="V7:V15" si="2">+C7/12</f>
        <v>80233.833333333328</v>
      </c>
      <c r="W7" s="148">
        <f>+U7/12</f>
        <v>0</v>
      </c>
      <c r="Y7" s="1007" t="s">
        <v>968</v>
      </c>
      <c r="Z7" s="1012">
        <v>9000</v>
      </c>
      <c r="AA7" s="1013">
        <v>2500</v>
      </c>
      <c r="AB7" s="1013">
        <v>0</v>
      </c>
      <c r="AC7" s="1013">
        <v>9000</v>
      </c>
      <c r="AD7" s="1014">
        <v>2500</v>
      </c>
      <c r="AE7" s="1015">
        <f t="shared" si="0"/>
        <v>23000</v>
      </c>
      <c r="AF7" s="702">
        <v>26500</v>
      </c>
    </row>
    <row r="8" spans="1:32">
      <c r="A8" s="324" t="s">
        <v>5</v>
      </c>
      <c r="B8" s="323" t="s">
        <v>526</v>
      </c>
      <c r="C8" s="1216">
        <f>+'1.mell._Össz_Mérleg2019'!C25</f>
        <v>384050</v>
      </c>
      <c r="D8" s="1216">
        <f>+'1.mell._Össz_Mérleg2019'!D25</f>
        <v>541722</v>
      </c>
      <c r="E8" s="1216">
        <f>+'1.mell._Össz_Mérleg2019'!E25</f>
        <v>394432</v>
      </c>
      <c r="F8" s="1647">
        <f t="shared" si="1"/>
        <v>0.72810777483653977</v>
      </c>
      <c r="G8" s="821">
        <v>2271</v>
      </c>
      <c r="H8" s="822">
        <v>6312</v>
      </c>
      <c r="I8" s="822">
        <v>148023</v>
      </c>
      <c r="J8" s="822">
        <v>12045</v>
      </c>
      <c r="K8" s="822">
        <v>25231</v>
      </c>
      <c r="L8" s="822">
        <v>-7301</v>
      </c>
      <c r="M8" s="822">
        <v>8223</v>
      </c>
      <c r="N8" s="822">
        <v>8421</v>
      </c>
      <c r="O8" s="822">
        <v>134299</v>
      </c>
      <c r="P8" s="822">
        <v>13230</v>
      </c>
      <c r="Q8" s="822">
        <v>22221</v>
      </c>
      <c r="R8" s="822">
        <v>21457</v>
      </c>
      <c r="S8" s="322">
        <f t="shared" ref="S8:S15" si="3">SUM(G8:R8)</f>
        <v>394432</v>
      </c>
      <c r="T8" s="697"/>
      <c r="U8" s="547">
        <f t="shared" ref="U8:U30" si="4">+E8-S8</f>
        <v>0</v>
      </c>
      <c r="V8" s="148">
        <f t="shared" si="2"/>
        <v>32004.166666666668</v>
      </c>
      <c r="W8" s="148">
        <f>+U8/12</f>
        <v>0</v>
      </c>
      <c r="Y8" s="1007" t="s">
        <v>969</v>
      </c>
      <c r="Z8" s="1008">
        <v>0</v>
      </c>
      <c r="AA8" s="1009">
        <v>0</v>
      </c>
      <c r="AB8" s="1009">
        <v>60</v>
      </c>
      <c r="AC8" s="1009">
        <v>60</v>
      </c>
      <c r="AD8" s="1010">
        <v>0</v>
      </c>
      <c r="AE8" s="1011">
        <f t="shared" si="0"/>
        <v>120</v>
      </c>
      <c r="AF8" s="702">
        <v>120</v>
      </c>
    </row>
    <row r="9" spans="1:32">
      <c r="A9" s="324" t="s">
        <v>6</v>
      </c>
      <c r="B9" s="323" t="s">
        <v>531</v>
      </c>
      <c r="C9" s="1216">
        <f>+'1.mell._Össz_Mérleg2019'!C32</f>
        <v>132543</v>
      </c>
      <c r="D9" s="1216">
        <f>+'1.mell._Össz_Mérleg2019'!D32</f>
        <v>161795</v>
      </c>
      <c r="E9" s="1216">
        <f>+'1.mell._Össz_Mérleg2019'!E32</f>
        <v>129585</v>
      </c>
      <c r="F9" s="1647">
        <f t="shared" si="1"/>
        <v>0.80092091844618185</v>
      </c>
      <c r="G9" s="821">
        <v>4263</v>
      </c>
      <c r="H9" s="822">
        <v>6650</v>
      </c>
      <c r="I9" s="822">
        <v>7141</v>
      </c>
      <c r="J9" s="822">
        <v>7709</v>
      </c>
      <c r="K9" s="822">
        <v>24321</v>
      </c>
      <c r="L9" s="822">
        <v>9215</v>
      </c>
      <c r="M9" s="822">
        <v>10165</v>
      </c>
      <c r="N9" s="822">
        <v>8877</v>
      </c>
      <c r="O9" s="822">
        <v>7224</v>
      </c>
      <c r="P9" s="822">
        <v>14760</v>
      </c>
      <c r="Q9" s="822">
        <v>14037</v>
      </c>
      <c r="R9" s="822">
        <v>15223</v>
      </c>
      <c r="S9" s="322">
        <f t="shared" si="3"/>
        <v>129585</v>
      </c>
      <c r="T9" s="697"/>
      <c r="U9" s="547">
        <f t="shared" si="4"/>
        <v>0</v>
      </c>
      <c r="V9" s="148">
        <f t="shared" si="2"/>
        <v>11045.25</v>
      </c>
      <c r="W9" s="148">
        <f>+U9/12</f>
        <v>0</v>
      </c>
      <c r="Y9" s="1007" t="s">
        <v>1114</v>
      </c>
      <c r="Z9" s="1012">
        <v>5500</v>
      </c>
      <c r="AA9" s="1013"/>
      <c r="AB9" s="1013"/>
      <c r="AC9" s="1013">
        <v>5500</v>
      </c>
      <c r="AD9" s="1014"/>
      <c r="AE9" s="1015">
        <f>SUM(Z9:AD9)</f>
        <v>11000</v>
      </c>
      <c r="AF9" s="702">
        <v>11000</v>
      </c>
    </row>
    <row r="10" spans="1:32">
      <c r="A10" s="324" t="s">
        <v>3</v>
      </c>
      <c r="B10" s="323" t="s">
        <v>532</v>
      </c>
      <c r="C10" s="1217">
        <f>+'1.mell._Össz_Mérleg2019'!C44</f>
        <v>5800</v>
      </c>
      <c r="D10" s="1217">
        <f>+'1.mell._Össz_Mérleg2019'!D44</f>
        <v>54816</v>
      </c>
      <c r="E10" s="1217">
        <f>+'1.mell._Össz_Mérleg2019'!E44</f>
        <v>47805</v>
      </c>
      <c r="F10" s="1648">
        <f t="shared" si="1"/>
        <v>0.87209938704028023</v>
      </c>
      <c r="G10" s="821">
        <v>100</v>
      </c>
      <c r="H10" s="822">
        <v>100</v>
      </c>
      <c r="I10" s="822">
        <v>122</v>
      </c>
      <c r="J10" s="822">
        <v>107</v>
      </c>
      <c r="K10" s="822">
        <v>107</v>
      </c>
      <c r="L10" s="822">
        <v>2112</v>
      </c>
      <c r="M10" s="822">
        <v>115</v>
      </c>
      <c r="N10" s="822">
        <v>105</v>
      </c>
      <c r="O10" s="822">
        <v>104</v>
      </c>
      <c r="P10" s="822">
        <v>4412</v>
      </c>
      <c r="Q10" s="822">
        <v>4422</v>
      </c>
      <c r="R10" s="823">
        <v>35999</v>
      </c>
      <c r="S10" s="322">
        <f t="shared" si="3"/>
        <v>47805</v>
      </c>
      <c r="T10" s="697"/>
      <c r="U10" s="547">
        <f t="shared" si="4"/>
        <v>0</v>
      </c>
      <c r="V10" s="148">
        <f t="shared" si="2"/>
        <v>483.33333333333331</v>
      </c>
      <c r="Y10" s="1007" t="s">
        <v>970</v>
      </c>
      <c r="Z10" s="1012">
        <v>500</v>
      </c>
      <c r="AA10" s="1013">
        <v>100</v>
      </c>
      <c r="AB10" s="1013">
        <v>0</v>
      </c>
      <c r="AC10" s="1013">
        <v>500</v>
      </c>
      <c r="AD10" s="1014">
        <v>100</v>
      </c>
      <c r="AE10" s="1015">
        <f t="shared" si="0"/>
        <v>1200</v>
      </c>
      <c r="AF10" s="702">
        <v>1200</v>
      </c>
    </row>
    <row r="11" spans="1:32" ht="12.75" thickBot="1">
      <c r="A11" s="324" t="s">
        <v>16</v>
      </c>
      <c r="B11" s="323" t="s">
        <v>533</v>
      </c>
      <c r="C11" s="1217">
        <f>+'1.mell._Össz_Mérleg2019'!C51</f>
        <v>377399</v>
      </c>
      <c r="D11" s="1217">
        <f>+'1.mell._Össz_Mérleg2019'!D51</f>
        <v>1215708</v>
      </c>
      <c r="E11" s="1217">
        <f>+'1.mell._Össz_Mérleg2019'!E51</f>
        <v>1215708</v>
      </c>
      <c r="F11" s="1648">
        <f t="shared" si="1"/>
        <v>1</v>
      </c>
      <c r="G11" s="821">
        <v>11171</v>
      </c>
      <c r="H11" s="822">
        <v>827168</v>
      </c>
      <c r="I11" s="822">
        <v>338594</v>
      </c>
      <c r="J11" s="822"/>
      <c r="K11" s="822"/>
      <c r="L11" s="822">
        <v>4539</v>
      </c>
      <c r="M11" s="822"/>
      <c r="N11" s="822"/>
      <c r="O11" s="822"/>
      <c r="P11" s="822">
        <v>30426</v>
      </c>
      <c r="Q11" s="822">
        <v>3021</v>
      </c>
      <c r="R11" s="822">
        <v>789</v>
      </c>
      <c r="S11" s="322">
        <f t="shared" si="3"/>
        <v>1215708</v>
      </c>
      <c r="T11" s="697"/>
      <c r="U11" s="547">
        <f t="shared" si="4"/>
        <v>0</v>
      </c>
      <c r="V11" s="148">
        <f t="shared" si="2"/>
        <v>31449.916666666668</v>
      </c>
      <c r="Y11" s="1016" t="s">
        <v>18</v>
      </c>
      <c r="Z11" s="1017">
        <f>SUM(Z4:Z10)</f>
        <v>158500</v>
      </c>
      <c r="AA11" s="1018">
        <f>SUM(AA4:AA10)</f>
        <v>19600</v>
      </c>
      <c r="AB11" s="1018">
        <f>SUM(AB4:AB10)</f>
        <v>60</v>
      </c>
      <c r="AC11" s="1018">
        <f>SUM(AC4:AC10)</f>
        <v>149560</v>
      </c>
      <c r="AD11" s="1019">
        <f>SUM(AD4:AD10)</f>
        <v>38600</v>
      </c>
      <c r="AE11" s="1020">
        <f t="shared" si="0"/>
        <v>366320</v>
      </c>
      <c r="AF11" s="702"/>
    </row>
    <row r="12" spans="1:32">
      <c r="A12" s="324" t="s">
        <v>15</v>
      </c>
      <c r="B12" s="323" t="s">
        <v>534</v>
      </c>
      <c r="C12" s="1217">
        <f>+'1.mell._Össz_Mérleg2019'!C58</f>
        <v>10350</v>
      </c>
      <c r="D12" s="1217">
        <f>+'1.mell._Össz_Mérleg2019'!D58</f>
        <v>4878</v>
      </c>
      <c r="E12" s="1217">
        <f>+'1.mell._Össz_Mérleg2019'!E58</f>
        <v>4022</v>
      </c>
      <c r="F12" s="1648">
        <f t="shared" si="1"/>
        <v>0.82451824518245187</v>
      </c>
      <c r="G12" s="821">
        <v>56</v>
      </c>
      <c r="H12" s="822">
        <v>53</v>
      </c>
      <c r="I12" s="822">
        <v>50</v>
      </c>
      <c r="J12" s="822">
        <v>53</v>
      </c>
      <c r="K12" s="822">
        <v>91</v>
      </c>
      <c r="L12" s="822">
        <v>53</v>
      </c>
      <c r="M12" s="822">
        <v>57</v>
      </c>
      <c r="N12" s="822">
        <v>72</v>
      </c>
      <c r="O12" s="822">
        <v>54</v>
      </c>
      <c r="P12" s="822">
        <v>2944</v>
      </c>
      <c r="Q12" s="822">
        <v>317</v>
      </c>
      <c r="R12" s="822">
        <v>222</v>
      </c>
      <c r="S12" s="322">
        <f t="shared" si="3"/>
        <v>4022</v>
      </c>
      <c r="T12" s="697"/>
      <c r="U12" s="547">
        <f t="shared" si="4"/>
        <v>0</v>
      </c>
      <c r="V12" s="148">
        <f t="shared" si="2"/>
        <v>862.5</v>
      </c>
      <c r="W12" s="148">
        <f>+U12/12</f>
        <v>0</v>
      </c>
      <c r="Y12" s="701"/>
      <c r="Z12" s="701"/>
      <c r="AA12" s="701"/>
      <c r="AB12" s="701"/>
      <c r="AC12" s="701"/>
      <c r="AD12" s="701"/>
      <c r="AE12" s="701"/>
      <c r="AF12" s="702"/>
    </row>
    <row r="13" spans="1:32">
      <c r="A13" s="324" t="s">
        <v>14</v>
      </c>
      <c r="B13" s="323" t="s">
        <v>535</v>
      </c>
      <c r="C13" s="1217">
        <f>+'1.mell._Össz_Mérleg2019'!C64</f>
        <v>1500</v>
      </c>
      <c r="D13" s="1217">
        <f>+'1.mell._Össz_Mérleg2019'!D64</f>
        <v>6552</v>
      </c>
      <c r="E13" s="1217">
        <f>+'1.mell._Össz_Mérleg2019'!E64</f>
        <v>838</v>
      </c>
      <c r="F13" s="1648">
        <f t="shared" si="1"/>
        <v>0.12789987789987789</v>
      </c>
      <c r="G13" s="821">
        <v>50</v>
      </c>
      <c r="H13" s="822">
        <v>28</v>
      </c>
      <c r="I13" s="822">
        <v>28</v>
      </c>
      <c r="J13" s="822">
        <v>192</v>
      </c>
      <c r="K13" s="822">
        <v>75</v>
      </c>
      <c r="L13" s="822">
        <v>57</v>
      </c>
      <c r="M13" s="822">
        <v>77</v>
      </c>
      <c r="N13" s="822">
        <v>57</v>
      </c>
      <c r="O13" s="822">
        <v>110</v>
      </c>
      <c r="P13" s="822">
        <v>66</v>
      </c>
      <c r="Q13" s="822">
        <v>54</v>
      </c>
      <c r="R13" s="822">
        <v>44</v>
      </c>
      <c r="S13" s="322">
        <f t="shared" si="3"/>
        <v>838</v>
      </c>
      <c r="T13" s="697"/>
      <c r="U13" s="547">
        <f t="shared" si="4"/>
        <v>0</v>
      </c>
      <c r="V13" s="148">
        <f t="shared" si="2"/>
        <v>125</v>
      </c>
      <c r="W13" s="148">
        <f>+U13/12</f>
        <v>0</v>
      </c>
      <c r="Y13" s="701"/>
      <c r="Z13" s="701"/>
      <c r="AA13" s="701"/>
      <c r="AB13" s="701"/>
      <c r="AC13" s="701"/>
      <c r="AD13" s="701"/>
      <c r="AE13" s="701"/>
      <c r="AF13" s="702"/>
    </row>
    <row r="14" spans="1:32">
      <c r="A14" s="324" t="s">
        <v>13</v>
      </c>
      <c r="B14" s="323" t="s">
        <v>536</v>
      </c>
      <c r="C14" s="1217">
        <f>+'1.mell._Össz_Mérleg2019'!C72</f>
        <v>2738772</v>
      </c>
      <c r="D14" s="1217">
        <f>+'1.mell._Össz_Mérleg2019'!D72</f>
        <v>704310</v>
      </c>
      <c r="E14" s="1217">
        <f>+'1.mell._Össz_Mérleg2019'!E72</f>
        <v>704310</v>
      </c>
      <c r="F14" s="1648">
        <f t="shared" si="1"/>
        <v>1</v>
      </c>
      <c r="G14" s="821">
        <v>608587</v>
      </c>
      <c r="H14" s="822"/>
      <c r="I14" s="822"/>
      <c r="J14" s="822">
        <v>12437</v>
      </c>
      <c r="K14" s="822">
        <v>3435</v>
      </c>
      <c r="L14" s="822">
        <v>13526</v>
      </c>
      <c r="M14" s="822">
        <v>35549</v>
      </c>
      <c r="N14" s="822"/>
      <c r="O14" s="822"/>
      <c r="P14" s="822"/>
      <c r="Q14" s="822">
        <v>330</v>
      </c>
      <c r="R14" s="823">
        <v>30446</v>
      </c>
      <c r="S14" s="322">
        <f t="shared" si="3"/>
        <v>704310</v>
      </c>
      <c r="T14" s="697"/>
      <c r="U14" s="547">
        <f t="shared" si="4"/>
        <v>0</v>
      </c>
      <c r="V14" s="148">
        <f t="shared" si="2"/>
        <v>228231</v>
      </c>
      <c r="Y14" s="702"/>
      <c r="Z14" s="702"/>
      <c r="AA14" s="702"/>
      <c r="AB14" s="702"/>
      <c r="AC14" s="702"/>
      <c r="AD14" s="702"/>
      <c r="AE14" s="702"/>
      <c r="AF14" s="702"/>
    </row>
    <row r="15" spans="1:32" ht="12.75" thickBot="1">
      <c r="A15" s="324" t="s">
        <v>12</v>
      </c>
      <c r="B15" s="323" t="s">
        <v>537</v>
      </c>
      <c r="C15" s="1217">
        <f>+'1.mell._Össz_Mérleg2019'!C87</f>
        <v>9999</v>
      </c>
      <c r="D15" s="1217">
        <f>+'1.mell._Össz_Mérleg2019'!D87</f>
        <v>2492294</v>
      </c>
      <c r="E15" s="1217">
        <f>+'1.mell._Össz_Mérleg2019'!E87</f>
        <v>2492294</v>
      </c>
      <c r="F15" s="1648">
        <f t="shared" si="1"/>
        <v>1</v>
      </c>
      <c r="G15" s="821">
        <v>2492294</v>
      </c>
      <c r="H15" s="822"/>
      <c r="I15" s="822"/>
      <c r="J15" s="822"/>
      <c r="K15" s="822"/>
      <c r="L15" s="822"/>
      <c r="M15" s="822"/>
      <c r="N15" s="822"/>
      <c r="O15" s="822"/>
      <c r="P15" s="822"/>
      <c r="Q15" s="822"/>
      <c r="R15" s="823"/>
      <c r="S15" s="322">
        <f t="shared" si="3"/>
        <v>2492294</v>
      </c>
      <c r="T15" s="697"/>
      <c r="U15" s="547">
        <f t="shared" si="4"/>
        <v>0</v>
      </c>
      <c r="V15" s="148">
        <f t="shared" si="2"/>
        <v>833.25</v>
      </c>
      <c r="Y15" s="702"/>
      <c r="Z15" s="702"/>
      <c r="AA15" s="702"/>
      <c r="AB15" s="702"/>
      <c r="AC15" s="702"/>
      <c r="AD15" s="702"/>
      <c r="AE15" s="702"/>
      <c r="AF15" s="702"/>
    </row>
    <row r="16" spans="1:32" ht="12.75" thickBot="1">
      <c r="A16" s="338" t="s">
        <v>11</v>
      </c>
      <c r="B16" s="333" t="s">
        <v>527</v>
      </c>
      <c r="C16" s="339">
        <f>SUM(C7:C15)</f>
        <v>4623219</v>
      </c>
      <c r="D16" s="339">
        <f>SUM(D7:D15)</f>
        <v>6648242</v>
      </c>
      <c r="E16" s="339">
        <f>SUM(E7:E15)</f>
        <v>6455161</v>
      </c>
      <c r="F16" s="1649">
        <f t="shared" si="1"/>
        <v>0.97095758547898825</v>
      </c>
      <c r="G16" s="340">
        <f t="shared" ref="G16:S16" si="5">SUM(G7:G15)</f>
        <v>3225810</v>
      </c>
      <c r="H16" s="341">
        <f t="shared" si="5"/>
        <v>1048491</v>
      </c>
      <c r="I16" s="341">
        <f t="shared" si="5"/>
        <v>652720</v>
      </c>
      <c r="J16" s="341">
        <f t="shared" si="5"/>
        <v>118669</v>
      </c>
      <c r="K16" s="341">
        <f t="shared" si="5"/>
        <v>130091</v>
      </c>
      <c r="L16" s="341">
        <f t="shared" si="5"/>
        <v>139841</v>
      </c>
      <c r="M16" s="341">
        <f t="shared" si="5"/>
        <v>141541</v>
      </c>
      <c r="N16" s="341">
        <f t="shared" si="5"/>
        <v>173368</v>
      </c>
      <c r="O16" s="341">
        <f t="shared" si="5"/>
        <v>330694</v>
      </c>
      <c r="P16" s="341">
        <f t="shared" si="5"/>
        <v>142344</v>
      </c>
      <c r="Q16" s="341">
        <f t="shared" si="5"/>
        <v>122525</v>
      </c>
      <c r="R16" s="333">
        <f t="shared" si="5"/>
        <v>229067</v>
      </c>
      <c r="S16" s="342">
        <f t="shared" si="5"/>
        <v>6455161</v>
      </c>
      <c r="T16" s="697"/>
      <c r="U16" s="547">
        <f t="shared" si="4"/>
        <v>0</v>
      </c>
      <c r="Y16" s="702"/>
      <c r="Z16" s="702"/>
      <c r="AA16" s="702"/>
      <c r="AB16" s="702"/>
      <c r="AC16" s="702"/>
      <c r="AD16" s="702"/>
      <c r="AE16" s="702"/>
      <c r="AF16" s="702"/>
    </row>
    <row r="17" spans="1:32" ht="12.75" thickBot="1">
      <c r="A17" s="343"/>
      <c r="B17" s="1866" t="s">
        <v>528</v>
      </c>
      <c r="C17" s="1867"/>
      <c r="D17" s="1867"/>
      <c r="E17" s="1867"/>
      <c r="F17" s="1868"/>
      <c r="G17" s="1870"/>
      <c r="H17" s="1870"/>
      <c r="I17" s="1870"/>
      <c r="J17" s="1870"/>
      <c r="K17" s="1870"/>
      <c r="L17" s="1870"/>
      <c r="M17" s="1870"/>
      <c r="N17" s="1870"/>
      <c r="O17" s="1870"/>
      <c r="P17" s="1870"/>
      <c r="Q17" s="1870"/>
      <c r="R17" s="1870"/>
      <c r="S17" s="1869"/>
      <c r="T17" s="848"/>
      <c r="U17" s="547"/>
      <c r="Y17" s="702"/>
      <c r="Z17" s="702"/>
      <c r="AA17" s="702"/>
      <c r="AB17" s="702"/>
      <c r="AC17" s="702"/>
      <c r="AD17" s="702"/>
      <c r="AE17" s="702"/>
      <c r="AF17" s="702"/>
    </row>
    <row r="18" spans="1:32">
      <c r="A18" s="327" t="s">
        <v>10</v>
      </c>
      <c r="B18" s="326" t="s">
        <v>446</v>
      </c>
      <c r="C18" s="1215">
        <f>+'1.mell._Össz_Mérleg2019'!C110</f>
        <v>655870</v>
      </c>
      <c r="D18" s="1219">
        <f>+'1.mell._Össz_Mérleg2019'!D110</f>
        <v>930589</v>
      </c>
      <c r="E18" s="1215">
        <f>+'1.mell._Össz_Mérleg2019'!E110</f>
        <v>915906</v>
      </c>
      <c r="F18" s="1646">
        <f t="shared" ref="F18:F30" si="6">IF(ISERROR(E18/D18),"-",E18/D18)</f>
        <v>0.98422182080381349</v>
      </c>
      <c r="G18" s="992">
        <v>65646</v>
      </c>
      <c r="H18" s="993">
        <v>62615</v>
      </c>
      <c r="I18" s="993">
        <v>68601</v>
      </c>
      <c r="J18" s="993">
        <v>75221</v>
      </c>
      <c r="K18" s="993">
        <v>76660</v>
      </c>
      <c r="L18" s="993">
        <v>74067</v>
      </c>
      <c r="M18" s="993">
        <v>73999</v>
      </c>
      <c r="N18" s="993">
        <v>81055</v>
      </c>
      <c r="O18" s="993">
        <v>82834</v>
      </c>
      <c r="P18" s="993">
        <v>88461</v>
      </c>
      <c r="Q18" s="993">
        <v>74437</v>
      </c>
      <c r="R18" s="993">
        <v>92310</v>
      </c>
      <c r="S18" s="325">
        <f t="shared" ref="S18:S27" si="7">SUM(G18:R18)</f>
        <v>915906</v>
      </c>
      <c r="T18" s="697"/>
      <c r="U18" s="547">
        <f t="shared" si="4"/>
        <v>0</v>
      </c>
      <c r="V18" s="148">
        <f>+C18/12</f>
        <v>54655.833333333336</v>
      </c>
      <c r="W18" s="148">
        <f>+U18/12</f>
        <v>0</v>
      </c>
      <c r="Z18" s="702"/>
      <c r="AA18" s="702"/>
      <c r="AB18" s="702"/>
      <c r="AC18" s="702"/>
      <c r="AD18" s="702"/>
      <c r="AE18" s="702"/>
    </row>
    <row r="19" spans="1:32">
      <c r="A19" s="324" t="s">
        <v>9</v>
      </c>
      <c r="B19" s="323" t="s">
        <v>447</v>
      </c>
      <c r="C19" s="1217">
        <f>+'1.mell._Össz_Mérleg2019'!C114</f>
        <v>131505</v>
      </c>
      <c r="D19" s="1220">
        <f>+'1.mell._Össz_Mérleg2019'!D114</f>
        <v>178765</v>
      </c>
      <c r="E19" s="1217">
        <f>+'1.mell._Össz_Mérleg2019'!E114</f>
        <v>169543</v>
      </c>
      <c r="F19" s="1648">
        <f t="shared" si="6"/>
        <v>0.9484127206108578</v>
      </c>
      <c r="G19" s="821">
        <v>15188</v>
      </c>
      <c r="H19" s="822">
        <v>13203</v>
      </c>
      <c r="I19" s="822">
        <v>12350</v>
      </c>
      <c r="J19" s="822">
        <v>16167</v>
      </c>
      <c r="K19" s="822">
        <v>14360</v>
      </c>
      <c r="L19" s="822">
        <v>13208</v>
      </c>
      <c r="M19" s="822">
        <v>15813</v>
      </c>
      <c r="N19" s="822">
        <v>13637</v>
      </c>
      <c r="O19" s="822">
        <v>13773</v>
      </c>
      <c r="P19" s="822">
        <v>16128</v>
      </c>
      <c r="Q19" s="822">
        <v>12340</v>
      </c>
      <c r="R19" s="822">
        <v>13376</v>
      </c>
      <c r="S19" s="322">
        <f t="shared" si="7"/>
        <v>169543</v>
      </c>
      <c r="T19" s="697"/>
      <c r="U19" s="547">
        <f t="shared" si="4"/>
        <v>0</v>
      </c>
      <c r="V19" s="148">
        <f t="shared" ref="V19:V27" si="8">+C19/12</f>
        <v>10958.75</v>
      </c>
      <c r="W19" s="148">
        <f>+U19/12</f>
        <v>0</v>
      </c>
    </row>
    <row r="20" spans="1:32">
      <c r="A20" s="324" t="s">
        <v>45</v>
      </c>
      <c r="B20" s="323" t="s">
        <v>448</v>
      </c>
      <c r="C20" s="1217">
        <f>+'1.mell._Össz_Mérleg2019'!C116</f>
        <v>391454</v>
      </c>
      <c r="D20" s="1220">
        <f>+'1.mell._Össz_Mérleg2019'!D116</f>
        <v>834328</v>
      </c>
      <c r="E20" s="1217">
        <f>+'1.mell._Össz_Mérleg2019'!E116</f>
        <v>745686</v>
      </c>
      <c r="F20" s="1648">
        <f t="shared" si="6"/>
        <v>0.89375641234622349</v>
      </c>
      <c r="G20" s="821">
        <v>31491</v>
      </c>
      <c r="H20" s="822">
        <v>90585</v>
      </c>
      <c r="I20" s="822">
        <v>20367</v>
      </c>
      <c r="J20" s="822">
        <v>97792</v>
      </c>
      <c r="K20" s="822">
        <v>41632</v>
      </c>
      <c r="L20" s="822">
        <v>52795</v>
      </c>
      <c r="M20" s="822">
        <v>49499</v>
      </c>
      <c r="N20" s="822">
        <v>45275</v>
      </c>
      <c r="O20" s="822">
        <v>51713</v>
      </c>
      <c r="P20" s="822">
        <v>106149</v>
      </c>
      <c r="Q20" s="822">
        <v>29668</v>
      </c>
      <c r="R20" s="822">
        <v>128720</v>
      </c>
      <c r="S20" s="322">
        <f t="shared" si="7"/>
        <v>745686</v>
      </c>
      <c r="T20" s="697"/>
      <c r="U20" s="547">
        <f t="shared" si="4"/>
        <v>0</v>
      </c>
      <c r="V20" s="148">
        <f t="shared" si="8"/>
        <v>32621.166666666668</v>
      </c>
      <c r="W20" s="148">
        <f>+U20/12</f>
        <v>0</v>
      </c>
    </row>
    <row r="21" spans="1:32">
      <c r="A21" s="324" t="s">
        <v>44</v>
      </c>
      <c r="B21" s="323" t="s">
        <v>449</v>
      </c>
      <c r="C21" s="1217">
        <f>+'1.mell._Össz_Mérleg2019'!C123</f>
        <v>57543</v>
      </c>
      <c r="D21" s="1220">
        <f>+'1.mell._Össz_Mérleg2019'!D123</f>
        <v>43459</v>
      </c>
      <c r="E21" s="1217">
        <f>+'1.mell._Össz_Mérleg2019'!E123</f>
        <v>43161</v>
      </c>
      <c r="F21" s="1648">
        <f t="shared" si="6"/>
        <v>0.99314296233231325</v>
      </c>
      <c r="G21" s="821">
        <v>3917</v>
      </c>
      <c r="H21" s="822">
        <v>4626</v>
      </c>
      <c r="I21" s="822">
        <v>3851</v>
      </c>
      <c r="J21" s="822">
        <v>2448</v>
      </c>
      <c r="K21" s="822">
        <v>2705</v>
      </c>
      <c r="L21" s="822">
        <v>2255</v>
      </c>
      <c r="M21" s="822">
        <v>2126</v>
      </c>
      <c r="N21" s="822">
        <v>2292</v>
      </c>
      <c r="O21" s="822">
        <v>2302</v>
      </c>
      <c r="P21" s="822">
        <v>2632</v>
      </c>
      <c r="Q21" s="822">
        <v>2057</v>
      </c>
      <c r="R21" s="822">
        <v>11950</v>
      </c>
      <c r="S21" s="322">
        <f t="shared" si="7"/>
        <v>43161</v>
      </c>
      <c r="T21" s="697"/>
      <c r="U21" s="547">
        <f t="shared" si="4"/>
        <v>0</v>
      </c>
      <c r="V21" s="148">
        <f t="shared" si="8"/>
        <v>4795.25</v>
      </c>
      <c r="W21" s="148">
        <f>+U21/12</f>
        <v>0</v>
      </c>
    </row>
    <row r="22" spans="1:32">
      <c r="A22" s="324" t="s">
        <v>43</v>
      </c>
      <c r="B22" s="323" t="s">
        <v>450</v>
      </c>
      <c r="C22" s="1217">
        <f>+'1.mell._Össz_Mérleg2019'!C132</f>
        <v>2874202</v>
      </c>
      <c r="D22" s="1220">
        <f>+'1.mell._Össz_Mérleg2019'!D132</f>
        <v>3217954</v>
      </c>
      <c r="E22" s="1217">
        <f>+'1.mell._Össz_Mérleg2019'!E132</f>
        <v>89359</v>
      </c>
      <c r="F22" s="1648">
        <f t="shared" si="6"/>
        <v>2.7768886690114278E-2</v>
      </c>
      <c r="G22" s="822">
        <v>4643</v>
      </c>
      <c r="H22" s="822">
        <v>10418</v>
      </c>
      <c r="I22" s="822">
        <v>2936</v>
      </c>
      <c r="J22" s="822">
        <v>20545</v>
      </c>
      <c r="K22" s="822">
        <v>2448</v>
      </c>
      <c r="L22" s="822">
        <v>10734</v>
      </c>
      <c r="M22" s="822">
        <v>11179</v>
      </c>
      <c r="N22" s="822">
        <v>3065</v>
      </c>
      <c r="O22" s="822">
        <v>13705</v>
      </c>
      <c r="P22" s="822">
        <v>4210</v>
      </c>
      <c r="Q22" s="822">
        <v>1734</v>
      </c>
      <c r="R22" s="822">
        <v>3742</v>
      </c>
      <c r="S22" s="322">
        <f t="shared" si="7"/>
        <v>89359</v>
      </c>
      <c r="T22" s="697"/>
      <c r="U22" s="547">
        <f t="shared" si="4"/>
        <v>0</v>
      </c>
      <c r="V22" s="148">
        <f t="shared" si="8"/>
        <v>239516.83333333334</v>
      </c>
      <c r="W22" s="148">
        <f>+U22/12</f>
        <v>0</v>
      </c>
      <c r="X22" s="380">
        <f>+U22/4</f>
        <v>0</v>
      </c>
    </row>
    <row r="23" spans="1:32">
      <c r="A23" s="324" t="s">
        <v>40</v>
      </c>
      <c r="B23" s="323" t="s">
        <v>451</v>
      </c>
      <c r="C23" s="1217">
        <f>+'1.mell._Össz_Mérleg2019'!C150</f>
        <v>466298</v>
      </c>
      <c r="D23" s="1220">
        <f>+'1.mell._Össz_Mérleg2019'!D150</f>
        <v>931483</v>
      </c>
      <c r="E23" s="1217">
        <f>+'1.mell._Össz_Mérleg2019'!E150</f>
        <v>816299</v>
      </c>
      <c r="F23" s="1648">
        <f t="shared" si="6"/>
        <v>0.87634342226320827</v>
      </c>
      <c r="G23" s="821">
        <v>9491</v>
      </c>
      <c r="H23" s="822">
        <v>364</v>
      </c>
      <c r="I23" s="822">
        <v>2485</v>
      </c>
      <c r="J23" s="822">
        <v>6109</v>
      </c>
      <c r="K23" s="822">
        <v>1821</v>
      </c>
      <c r="L23" s="822">
        <v>10540</v>
      </c>
      <c r="M23" s="822">
        <v>357335</v>
      </c>
      <c r="N23" s="822">
        <v>11013</v>
      </c>
      <c r="O23" s="822">
        <v>66919</v>
      </c>
      <c r="P23" s="822">
        <v>164176</v>
      </c>
      <c r="Q23" s="822">
        <v>50292</v>
      </c>
      <c r="R23" s="822">
        <v>135754</v>
      </c>
      <c r="S23" s="322">
        <f t="shared" si="7"/>
        <v>816299</v>
      </c>
      <c r="T23" s="697"/>
      <c r="U23" s="547">
        <f t="shared" si="4"/>
        <v>0</v>
      </c>
      <c r="V23" s="148">
        <f t="shared" si="8"/>
        <v>38858.166666666664</v>
      </c>
      <c r="W23" s="148">
        <f>+U23/4</f>
        <v>0</v>
      </c>
    </row>
    <row r="24" spans="1:32">
      <c r="A24" s="324" t="s">
        <v>39</v>
      </c>
      <c r="B24" s="323" t="s">
        <v>452</v>
      </c>
      <c r="C24" s="1217">
        <f>+'1.mell._Össz_Mérleg2019'!C159</f>
        <v>19676</v>
      </c>
      <c r="D24" s="1220">
        <f>+'1.mell._Össz_Mérleg2019'!D159</f>
        <v>419698</v>
      </c>
      <c r="E24" s="1217">
        <f>+'1.mell._Össz_Mérleg2019'!E159</f>
        <v>252513</v>
      </c>
      <c r="F24" s="1648">
        <f t="shared" si="6"/>
        <v>0.60165404648104115</v>
      </c>
      <c r="G24" s="821">
        <v>29924</v>
      </c>
      <c r="H24" s="822">
        <v>4271</v>
      </c>
      <c r="I24" s="822">
        <v>128</v>
      </c>
      <c r="J24" s="822">
        <v>11592</v>
      </c>
      <c r="K24" s="822">
        <v>56401</v>
      </c>
      <c r="L24" s="822"/>
      <c r="M24" s="822"/>
      <c r="N24" s="822">
        <v>31406</v>
      </c>
      <c r="O24" s="822">
        <v>43763</v>
      </c>
      <c r="P24" s="822">
        <v>45408</v>
      </c>
      <c r="Q24" s="822">
        <v>8462</v>
      </c>
      <c r="R24" s="822">
        <v>21158</v>
      </c>
      <c r="S24" s="322">
        <f t="shared" si="7"/>
        <v>252513</v>
      </c>
      <c r="T24" s="697"/>
      <c r="U24" s="547">
        <f t="shared" si="4"/>
        <v>0</v>
      </c>
      <c r="V24" s="148">
        <f t="shared" si="8"/>
        <v>1639.6666666666667</v>
      </c>
      <c r="W24" s="148">
        <f>+U24/4</f>
        <v>0</v>
      </c>
    </row>
    <row r="25" spans="1:32">
      <c r="A25" s="324" t="s">
        <v>38</v>
      </c>
      <c r="B25" s="323" t="s">
        <v>453</v>
      </c>
      <c r="C25" s="1217">
        <f>+'1.mell._Össz_Mérleg2019'!C165</f>
        <v>0</v>
      </c>
      <c r="D25" s="1220">
        <f>+'1.mell._Össz_Mérleg2019'!D165</f>
        <v>18</v>
      </c>
      <c r="E25" s="1217">
        <f>+'1.mell._Össz_Mérleg2019'!E165</f>
        <v>18</v>
      </c>
      <c r="F25" s="1648">
        <f t="shared" si="6"/>
        <v>1</v>
      </c>
      <c r="G25" s="821"/>
      <c r="H25" s="822"/>
      <c r="I25" s="822"/>
      <c r="J25" s="822"/>
      <c r="K25" s="822"/>
      <c r="L25" s="822">
        <v>18</v>
      </c>
      <c r="M25" s="822"/>
      <c r="N25" s="822"/>
      <c r="O25" s="822"/>
      <c r="P25" s="822"/>
      <c r="Q25" s="822"/>
      <c r="R25" s="823"/>
      <c r="S25" s="322">
        <f t="shared" si="7"/>
        <v>18</v>
      </c>
      <c r="T25" s="697"/>
      <c r="U25" s="547">
        <f t="shared" si="4"/>
        <v>0</v>
      </c>
      <c r="V25" s="148">
        <f t="shared" si="8"/>
        <v>0</v>
      </c>
    </row>
    <row r="26" spans="1:32">
      <c r="A26" s="324" t="s">
        <v>36</v>
      </c>
      <c r="B26" s="323" t="s">
        <v>538</v>
      </c>
      <c r="C26" s="1217">
        <f>+'1.mell._Össz_Mérleg2019'!C178</f>
        <v>26671</v>
      </c>
      <c r="D26" s="1220">
        <f>+'1.mell._Össz_Mérleg2019'!D178</f>
        <v>91948</v>
      </c>
      <c r="E26" s="1217">
        <f>+'1.mell._Össz_Mérleg2019'!E178</f>
        <v>91948</v>
      </c>
      <c r="F26" s="1648">
        <f t="shared" si="6"/>
        <v>1</v>
      </c>
      <c r="G26" s="821">
        <v>26671</v>
      </c>
      <c r="H26" s="822"/>
      <c r="I26" s="822"/>
      <c r="J26" s="822"/>
      <c r="K26" s="822"/>
      <c r="L26" s="822"/>
      <c r="M26" s="822"/>
      <c r="N26" s="822">
        <v>6442</v>
      </c>
      <c r="O26" s="822">
        <v>36745</v>
      </c>
      <c r="P26" s="822">
        <v>21637</v>
      </c>
      <c r="Q26" s="822"/>
      <c r="R26" s="823">
        <v>453</v>
      </c>
      <c r="S26" s="322">
        <f t="shared" si="7"/>
        <v>91948</v>
      </c>
      <c r="T26" s="697"/>
      <c r="U26" s="547">
        <f t="shared" si="4"/>
        <v>0</v>
      </c>
      <c r="V26" s="148">
        <f t="shared" si="8"/>
        <v>2222.5833333333335</v>
      </c>
    </row>
    <row r="27" spans="1:32" ht="12.75" thickBot="1">
      <c r="A27" s="351" t="s">
        <v>35</v>
      </c>
      <c r="B27" s="352" t="s">
        <v>539</v>
      </c>
      <c r="C27" s="1218">
        <f>+'1.mell._Össz_Mérleg2019'!C193</f>
        <v>0</v>
      </c>
      <c r="D27" s="1221">
        <f>+'1.mell._Össz_Mérleg2019'!D193</f>
        <v>0</v>
      </c>
      <c r="E27" s="1218">
        <f>+'1.mell._Össz_Mérleg2019'!E193</f>
        <v>0</v>
      </c>
      <c r="F27" s="1650" t="str">
        <f t="shared" si="6"/>
        <v>-</v>
      </c>
      <c r="G27" s="994"/>
      <c r="H27" s="995"/>
      <c r="I27" s="995"/>
      <c r="J27" s="995"/>
      <c r="K27" s="995"/>
      <c r="L27" s="995"/>
      <c r="M27" s="995"/>
      <c r="N27" s="995"/>
      <c r="O27" s="995"/>
      <c r="P27" s="995"/>
      <c r="Q27" s="995"/>
      <c r="R27" s="996"/>
      <c r="S27" s="703">
        <f t="shared" si="7"/>
        <v>0</v>
      </c>
      <c r="T27" s="697"/>
      <c r="U27" s="547">
        <f t="shared" si="4"/>
        <v>0</v>
      </c>
      <c r="V27" s="148">
        <f t="shared" si="8"/>
        <v>0</v>
      </c>
    </row>
    <row r="28" spans="1:32" ht="12.75" thickBot="1">
      <c r="A28" s="338" t="s">
        <v>34</v>
      </c>
      <c r="B28" s="333" t="s">
        <v>529</v>
      </c>
      <c r="C28" s="339">
        <f>SUM(C18:C27)</f>
        <v>4623219</v>
      </c>
      <c r="D28" s="341">
        <f>SUM(D18:D27)</f>
        <v>6648242</v>
      </c>
      <c r="E28" s="339">
        <f>SUM(E18:E27)</f>
        <v>3124433</v>
      </c>
      <c r="F28" s="1649">
        <f t="shared" si="6"/>
        <v>0.46996378892344776</v>
      </c>
      <c r="G28" s="341">
        <f t="shared" ref="G28:S28" si="9">SUM(G18:G27)</f>
        <v>186971</v>
      </c>
      <c r="H28" s="341">
        <f t="shared" si="9"/>
        <v>186082</v>
      </c>
      <c r="I28" s="341">
        <f t="shared" si="9"/>
        <v>110718</v>
      </c>
      <c r="J28" s="341">
        <f t="shared" si="9"/>
        <v>229874</v>
      </c>
      <c r="K28" s="341">
        <f t="shared" si="9"/>
        <v>196027</v>
      </c>
      <c r="L28" s="341">
        <f t="shared" si="9"/>
        <v>163617</v>
      </c>
      <c r="M28" s="341">
        <f t="shared" si="9"/>
        <v>509951</v>
      </c>
      <c r="N28" s="341">
        <f t="shared" si="9"/>
        <v>194185</v>
      </c>
      <c r="O28" s="341">
        <f t="shared" si="9"/>
        <v>311754</v>
      </c>
      <c r="P28" s="341">
        <f t="shared" si="9"/>
        <v>448801</v>
      </c>
      <c r="Q28" s="341">
        <f t="shared" si="9"/>
        <v>178990</v>
      </c>
      <c r="R28" s="339">
        <f t="shared" si="9"/>
        <v>407463</v>
      </c>
      <c r="S28" s="344">
        <f t="shared" si="9"/>
        <v>3124433</v>
      </c>
      <c r="T28" s="697"/>
      <c r="U28" s="547">
        <f t="shared" si="4"/>
        <v>0</v>
      </c>
    </row>
    <row r="29" spans="1:32" ht="12.75" thickBot="1">
      <c r="A29" s="345" t="s">
        <v>33</v>
      </c>
      <c r="B29" s="334" t="s">
        <v>540</v>
      </c>
      <c r="C29" s="346">
        <f>+C16-C28</f>
        <v>0</v>
      </c>
      <c r="D29" s="347">
        <f>+D16-D28</f>
        <v>0</v>
      </c>
      <c r="E29" s="346">
        <f>+E16-E28</f>
        <v>3330728</v>
      </c>
      <c r="F29" s="1632" t="str">
        <f t="shared" si="6"/>
        <v>-</v>
      </c>
      <c r="G29" s="347">
        <f t="shared" ref="G29:S29" si="10">+G16-G28</f>
        <v>3038839</v>
      </c>
      <c r="H29" s="347">
        <f t="shared" si="10"/>
        <v>862409</v>
      </c>
      <c r="I29" s="347">
        <f t="shared" si="10"/>
        <v>542002</v>
      </c>
      <c r="J29" s="347">
        <f t="shared" si="10"/>
        <v>-111205</v>
      </c>
      <c r="K29" s="347">
        <f t="shared" si="10"/>
        <v>-65936</v>
      </c>
      <c r="L29" s="347">
        <f t="shared" si="10"/>
        <v>-23776</v>
      </c>
      <c r="M29" s="347">
        <f t="shared" si="10"/>
        <v>-368410</v>
      </c>
      <c r="N29" s="347">
        <f t="shared" si="10"/>
        <v>-20817</v>
      </c>
      <c r="O29" s="347">
        <f t="shared" si="10"/>
        <v>18940</v>
      </c>
      <c r="P29" s="347">
        <f t="shared" si="10"/>
        <v>-306457</v>
      </c>
      <c r="Q29" s="347">
        <f t="shared" si="10"/>
        <v>-56465</v>
      </c>
      <c r="R29" s="346">
        <f t="shared" si="10"/>
        <v>-178396</v>
      </c>
      <c r="S29" s="348">
        <f t="shared" si="10"/>
        <v>3330728</v>
      </c>
      <c r="T29" s="698"/>
      <c r="U29" s="547">
        <f t="shared" si="4"/>
        <v>0</v>
      </c>
    </row>
    <row r="30" spans="1:32" ht="12.75" thickBot="1">
      <c r="A30" s="345" t="s">
        <v>32</v>
      </c>
      <c r="B30" s="334" t="s">
        <v>541</v>
      </c>
      <c r="C30" s="346">
        <f>+C29</f>
        <v>0</v>
      </c>
      <c r="D30" s="347">
        <f>+D29</f>
        <v>0</v>
      </c>
      <c r="E30" s="346">
        <f>+E29</f>
        <v>3330728</v>
      </c>
      <c r="F30" s="1632" t="str">
        <f t="shared" si="6"/>
        <v>-</v>
      </c>
      <c r="G30" s="347">
        <f>+G29</f>
        <v>3038839</v>
      </c>
      <c r="H30" s="347">
        <f>+G30+H29</f>
        <v>3901248</v>
      </c>
      <c r="I30" s="347">
        <f t="shared" ref="I30:R30" si="11">+H30+I29</f>
        <v>4443250</v>
      </c>
      <c r="J30" s="347">
        <f t="shared" si="11"/>
        <v>4332045</v>
      </c>
      <c r="K30" s="347">
        <f t="shared" si="11"/>
        <v>4266109</v>
      </c>
      <c r="L30" s="347">
        <f t="shared" si="11"/>
        <v>4242333</v>
      </c>
      <c r="M30" s="347">
        <f t="shared" si="11"/>
        <v>3873923</v>
      </c>
      <c r="N30" s="347">
        <f t="shared" si="11"/>
        <v>3853106</v>
      </c>
      <c r="O30" s="347">
        <f t="shared" si="11"/>
        <v>3872046</v>
      </c>
      <c r="P30" s="347">
        <f t="shared" si="11"/>
        <v>3565589</v>
      </c>
      <c r="Q30" s="347">
        <f t="shared" si="11"/>
        <v>3509124</v>
      </c>
      <c r="R30" s="346">
        <f t="shared" si="11"/>
        <v>3330728</v>
      </c>
      <c r="S30" s="348">
        <f>+S29</f>
        <v>3330728</v>
      </c>
      <c r="T30" s="698"/>
      <c r="U30" s="547">
        <f t="shared" si="4"/>
        <v>0</v>
      </c>
    </row>
    <row r="31" spans="1:32">
      <c r="A31" s="820"/>
      <c r="B31" s="820"/>
      <c r="C31" s="820"/>
      <c r="D31" s="820"/>
      <c r="E31" s="820"/>
      <c r="G31" s="349"/>
      <c r="H31" s="349"/>
      <c r="I31" s="349"/>
      <c r="J31" s="349"/>
      <c r="K31" s="349"/>
      <c r="L31" s="349"/>
      <c r="M31" s="349"/>
      <c r="N31" s="349"/>
      <c r="O31" s="349"/>
      <c r="P31" s="349"/>
      <c r="Q31" s="349"/>
      <c r="R31" s="349"/>
      <c r="S31" s="820"/>
      <c r="T31" s="820"/>
    </row>
    <row r="32" spans="1:32">
      <c r="A32" s="820"/>
      <c r="B32" s="820"/>
      <c r="C32" s="820"/>
      <c r="D32" s="820"/>
      <c r="E32" s="820"/>
      <c r="F32" s="1651"/>
      <c r="G32" s="820"/>
      <c r="H32" s="820"/>
      <c r="I32" s="820"/>
      <c r="J32" s="820"/>
      <c r="K32" s="820"/>
      <c r="L32" s="820"/>
      <c r="M32" s="820"/>
      <c r="N32" s="1021"/>
      <c r="O32" s="1021"/>
      <c r="P32" s="820"/>
      <c r="Q32" s="820"/>
      <c r="R32" s="820"/>
      <c r="S32" s="820"/>
      <c r="T32" s="820"/>
    </row>
    <row r="33" spans="1:20">
      <c r="A33" s="820"/>
      <c r="B33" s="820"/>
      <c r="C33" s="820"/>
      <c r="D33" s="820"/>
      <c r="E33" s="820"/>
      <c r="G33" s="820"/>
      <c r="H33" s="820"/>
      <c r="I33" s="820"/>
      <c r="J33" s="820"/>
      <c r="K33" s="820"/>
      <c r="L33" s="820"/>
      <c r="M33" s="820"/>
      <c r="N33" s="1021"/>
      <c r="O33" s="1021"/>
      <c r="P33" s="820"/>
      <c r="Q33" s="820"/>
      <c r="R33" s="820"/>
      <c r="S33" s="820"/>
      <c r="T33" s="820"/>
    </row>
    <row r="34" spans="1:20">
      <c r="A34" s="820"/>
      <c r="B34" s="820"/>
      <c r="C34" s="820"/>
      <c r="D34" s="820"/>
      <c r="E34" s="820"/>
      <c r="G34" s="820"/>
      <c r="H34" s="820"/>
      <c r="I34" s="820"/>
      <c r="J34" s="820"/>
      <c r="K34" s="820"/>
      <c r="L34" s="820"/>
      <c r="M34" s="820"/>
      <c r="N34" s="1021"/>
      <c r="O34" s="1021"/>
      <c r="P34" s="820"/>
      <c r="Q34" s="820"/>
      <c r="R34" s="820"/>
      <c r="S34" s="820"/>
      <c r="T34" s="820"/>
    </row>
    <row r="35" spans="1:20">
      <c r="A35" s="820"/>
      <c r="B35" s="820"/>
      <c r="C35" s="820"/>
      <c r="D35" s="820"/>
      <c r="E35" s="820"/>
      <c r="G35" s="820"/>
      <c r="H35" s="820"/>
      <c r="I35" s="820"/>
      <c r="J35" s="820"/>
      <c r="K35" s="820"/>
      <c r="L35" s="820"/>
      <c r="M35" s="820"/>
      <c r="N35" s="1021"/>
      <c r="O35" s="1021"/>
      <c r="P35" s="820"/>
      <c r="Q35" s="820"/>
      <c r="R35" s="820"/>
      <c r="S35" s="820"/>
      <c r="T35" s="820"/>
    </row>
    <row r="36" spans="1:20">
      <c r="A36" s="820"/>
      <c r="B36" s="820"/>
      <c r="C36" s="820"/>
      <c r="D36" s="820"/>
      <c r="E36" s="820"/>
      <c r="G36" s="820"/>
      <c r="H36" s="820"/>
      <c r="I36" s="820"/>
      <c r="J36" s="820"/>
      <c r="K36" s="820"/>
      <c r="L36" s="820"/>
      <c r="M36" s="820"/>
      <c r="N36" s="1021"/>
      <c r="O36" s="1021"/>
      <c r="P36" s="820"/>
      <c r="Q36" s="820"/>
      <c r="R36" s="820"/>
      <c r="S36" s="820"/>
      <c r="T36" s="820"/>
    </row>
    <row r="37" spans="1:20">
      <c r="A37" s="820"/>
      <c r="B37" s="820"/>
      <c r="C37" s="820"/>
      <c r="D37" s="820"/>
      <c r="E37" s="820"/>
      <c r="G37" s="820"/>
      <c r="H37" s="820"/>
      <c r="I37" s="820"/>
      <c r="J37" s="820"/>
      <c r="K37" s="820"/>
      <c r="L37" s="820"/>
      <c r="M37" s="820"/>
      <c r="N37" s="1021"/>
      <c r="O37" s="1021"/>
      <c r="P37" s="820"/>
      <c r="Q37" s="820"/>
      <c r="R37" s="820"/>
      <c r="S37" s="820"/>
      <c r="T37" s="820"/>
    </row>
    <row r="38" spans="1:20">
      <c r="G38" s="820"/>
      <c r="H38" s="820"/>
      <c r="I38" s="820"/>
      <c r="J38" s="820"/>
      <c r="K38" s="820"/>
      <c r="L38" s="820"/>
      <c r="M38" s="820"/>
      <c r="N38" s="1021"/>
      <c r="O38" s="1021"/>
    </row>
    <row r="39" spans="1:20">
      <c r="G39" s="349"/>
      <c r="H39" s="349"/>
      <c r="I39" s="349"/>
      <c r="J39" s="349"/>
      <c r="K39" s="349"/>
      <c r="L39" s="349"/>
      <c r="M39" s="349"/>
      <c r="N39" s="1021"/>
      <c r="O39" s="1021"/>
    </row>
  </sheetData>
  <mergeCells count="3">
    <mergeCell ref="A3:S3"/>
    <mergeCell ref="B6:S6"/>
    <mergeCell ref="B17:S17"/>
  </mergeCells>
  <printOptions horizontalCentered="1"/>
  <pageMargins left="0.39370078740157483" right="0.39370078740157483" top="0.39370078740157483" bottom="0.39370078740157483" header="0.19685039370078741" footer="0.19685039370078741"/>
  <pageSetup scale="58" orientation="landscape" horizontalDpi="200" verticalDpi="200" r:id="rId1"/>
  <colBreaks count="1" manualBreakCount="1">
    <brk id="19" max="2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>
  <sheetPr codeName="Munka22">
    <tabColor rgb="FF00B0F0"/>
  </sheetPr>
  <dimension ref="A1:AE264"/>
  <sheetViews>
    <sheetView zoomScaleNormal="100" workbookViewId="0"/>
  </sheetViews>
  <sheetFormatPr defaultRowHeight="12"/>
  <cols>
    <col min="1" max="1" width="6.5703125" style="118" customWidth="1"/>
    <col min="2" max="2" width="109.5703125" style="118" bestFit="1" customWidth="1"/>
    <col min="3" max="7" width="9.28515625" style="118" customWidth="1"/>
    <col min="8" max="8" width="9.28515625" style="1565" customWidth="1"/>
    <col min="9" max="9" width="9.140625" style="118" customWidth="1"/>
    <col min="10" max="14" width="9.140625" style="4" hidden="1" customWidth="1"/>
    <col min="15" max="16384" width="9.140625" style="118"/>
  </cols>
  <sheetData>
    <row r="1" spans="1:31" s="872" customFormat="1" ht="15.75">
      <c r="E1" s="873"/>
      <c r="F1" s="873"/>
      <c r="G1" s="873"/>
      <c r="H1" s="1652" t="s">
        <v>429</v>
      </c>
      <c r="J1" s="50"/>
      <c r="K1" s="50"/>
      <c r="L1" s="50"/>
      <c r="M1" s="50"/>
      <c r="N1" s="50"/>
    </row>
    <row r="2" spans="1:31" s="872" customFormat="1" ht="15.75">
      <c r="H2" s="1547"/>
      <c r="J2" s="50"/>
      <c r="K2" s="50"/>
      <c r="L2" s="50"/>
      <c r="M2" s="50"/>
      <c r="N2" s="50"/>
    </row>
    <row r="3" spans="1:31" s="874" customFormat="1" ht="15.75">
      <c r="A3" s="1794" t="s">
        <v>331</v>
      </c>
      <c r="B3" s="1794"/>
      <c r="C3" s="1794"/>
      <c r="D3" s="1794"/>
      <c r="E3" s="1794"/>
      <c r="F3" s="1794"/>
      <c r="G3" s="1794"/>
      <c r="H3" s="1794"/>
      <c r="J3" s="52"/>
      <c r="K3" s="52"/>
      <c r="L3" s="52"/>
      <c r="M3" s="52"/>
      <c r="N3" s="52"/>
    </row>
    <row r="4" spans="1:31" s="874" customFormat="1" ht="15.75">
      <c r="A4" s="1794" t="s">
        <v>1305</v>
      </c>
      <c r="B4" s="1794"/>
      <c r="C4" s="1794"/>
      <c r="D4" s="1794"/>
      <c r="E4" s="1794"/>
      <c r="F4" s="1794"/>
      <c r="G4" s="1794"/>
      <c r="H4" s="1794"/>
      <c r="J4" s="52"/>
      <c r="K4" s="52"/>
      <c r="L4" s="52"/>
      <c r="M4" s="52"/>
      <c r="N4" s="52"/>
    </row>
    <row r="5" spans="1:31" s="872" customFormat="1" ht="15.75">
      <c r="A5" s="1871" t="s">
        <v>542</v>
      </c>
      <c r="B5" s="1871"/>
      <c r="C5" s="1871"/>
      <c r="D5" s="1871"/>
      <c r="E5" s="1871"/>
      <c r="F5" s="1871"/>
      <c r="G5" s="1871"/>
      <c r="H5" s="1871"/>
      <c r="I5" s="355"/>
      <c r="J5" s="1663"/>
      <c r="K5" s="1663"/>
      <c r="L5" s="1663"/>
      <c r="M5" s="1663"/>
      <c r="N5" s="1663"/>
      <c r="O5" s="1029"/>
      <c r="P5" s="1029"/>
      <c r="Q5" s="1029"/>
      <c r="R5" s="1029"/>
      <c r="S5" s="1029"/>
      <c r="T5" s="1029"/>
      <c r="U5" s="1029"/>
      <c r="V5" s="1029"/>
      <c r="W5" s="1029"/>
      <c r="X5" s="1029"/>
      <c r="Y5" s="1029"/>
      <c r="Z5" s="1029"/>
      <c r="AA5" s="1029"/>
      <c r="AB5" s="1029"/>
      <c r="AC5" s="1029"/>
      <c r="AD5" s="1029"/>
      <c r="AE5" s="1029"/>
    </row>
    <row r="6" spans="1:31" s="874" customFormat="1" ht="15.75">
      <c r="A6" s="1794" t="s">
        <v>48</v>
      </c>
      <c r="B6" s="1794"/>
      <c r="C6" s="1794"/>
      <c r="D6" s="1794"/>
      <c r="E6" s="1794"/>
      <c r="F6" s="1794"/>
      <c r="G6" s="1794"/>
      <c r="H6" s="1794"/>
      <c r="J6" s="52"/>
      <c r="K6" s="52"/>
      <c r="L6" s="52"/>
      <c r="M6" s="52"/>
      <c r="N6" s="52"/>
    </row>
    <row r="7" spans="1:31" s="876" customFormat="1" ht="12.75" thickBot="1">
      <c r="A7" s="875" t="s">
        <v>280</v>
      </c>
      <c r="E7" s="877"/>
      <c r="F7" s="877"/>
      <c r="G7" s="877"/>
      <c r="H7" s="1653" t="s">
        <v>281</v>
      </c>
      <c r="J7" s="36"/>
      <c r="K7" s="36"/>
      <c r="L7" s="36"/>
      <c r="M7" s="36"/>
      <c r="N7" s="36"/>
    </row>
    <row r="8" spans="1:31" s="883" customFormat="1" ht="54" customHeight="1" thickBot="1">
      <c r="A8" s="878" t="s">
        <v>17</v>
      </c>
      <c r="B8" s="914" t="s">
        <v>328</v>
      </c>
      <c r="C8" s="1030" t="s">
        <v>1317</v>
      </c>
      <c r="D8" s="882" t="s">
        <v>2647</v>
      </c>
      <c r="E8" s="1101" t="s">
        <v>1553</v>
      </c>
      <c r="F8" s="6" t="s">
        <v>1554</v>
      </c>
      <c r="G8" s="6" t="s">
        <v>2646</v>
      </c>
      <c r="H8" s="1549" t="s">
        <v>2645</v>
      </c>
      <c r="J8" s="8"/>
      <c r="K8" s="8"/>
      <c r="L8" s="8"/>
      <c r="M8" s="8"/>
      <c r="N8" s="8"/>
    </row>
    <row r="9" spans="1:31" s="119" customFormat="1" ht="13.5" customHeight="1" thickBot="1">
      <c r="A9" s="884" t="s">
        <v>253</v>
      </c>
      <c r="B9" s="1031" t="s">
        <v>254</v>
      </c>
      <c r="C9" s="1763" t="s">
        <v>255</v>
      </c>
      <c r="D9" s="1032" t="s">
        <v>361</v>
      </c>
      <c r="E9" s="1795" t="s">
        <v>362</v>
      </c>
      <c r="F9" s="1796"/>
      <c r="G9" s="1796"/>
      <c r="H9" s="1797"/>
      <c r="J9" s="3"/>
      <c r="K9" s="3"/>
      <c r="L9" s="3"/>
      <c r="M9" s="3"/>
      <c r="N9" s="3"/>
    </row>
    <row r="10" spans="1:31" s="119" customFormat="1" ht="12.75" thickBot="1">
      <c r="A10" s="886" t="s">
        <v>4</v>
      </c>
      <c r="B10" s="887" t="s">
        <v>297</v>
      </c>
      <c r="C10" s="1033">
        <f t="shared" ref="C10:G10" si="0">+C11+C25+C32+C44</f>
        <v>1723144</v>
      </c>
      <c r="D10" s="1034">
        <f t="shared" si="0"/>
        <v>2076943</v>
      </c>
      <c r="E10" s="913">
        <f t="shared" si="0"/>
        <v>1485199</v>
      </c>
      <c r="F10" s="1118">
        <f t="shared" si="0"/>
        <v>2224500</v>
      </c>
      <c r="G10" s="1118">
        <f t="shared" si="0"/>
        <v>2037989</v>
      </c>
      <c r="H10" s="1654">
        <f t="shared" ref="H10:H73" si="1">IF(ISERROR(G10/F10),"-",G10/F10)</f>
        <v>0.91615599011013715</v>
      </c>
      <c r="J10" s="3"/>
      <c r="K10" s="3"/>
      <c r="L10" s="3"/>
      <c r="M10" s="3"/>
      <c r="N10" s="3"/>
    </row>
    <row r="11" spans="1:31" s="119" customFormat="1" ht="12.75" customHeight="1" thickBot="1">
      <c r="A11" s="884" t="s">
        <v>5</v>
      </c>
      <c r="B11" s="891" t="s">
        <v>298</v>
      </c>
      <c r="C11" s="1035">
        <f t="shared" ref="C11:G11" si="2">+C12+C19+C20+C21+C22+C23</f>
        <v>1247972</v>
      </c>
      <c r="D11" s="112">
        <f t="shared" si="2"/>
        <v>1592229</v>
      </c>
      <c r="E11" s="1222">
        <f t="shared" si="2"/>
        <v>962806</v>
      </c>
      <c r="F11" s="1119">
        <f t="shared" si="2"/>
        <v>1466167</v>
      </c>
      <c r="G11" s="1119">
        <f t="shared" si="2"/>
        <v>1466167</v>
      </c>
      <c r="H11" s="1558">
        <f t="shared" si="1"/>
        <v>1</v>
      </c>
      <c r="J11" s="3"/>
      <c r="K11" s="3"/>
      <c r="L11" s="3"/>
      <c r="M11" s="3"/>
      <c r="N11" s="3"/>
    </row>
    <row r="12" spans="1:31" s="119" customFormat="1">
      <c r="A12" s="892" t="s">
        <v>54</v>
      </c>
      <c r="B12" s="113" t="s">
        <v>299</v>
      </c>
      <c r="C12" s="1036">
        <f t="shared" ref="C12:G12" si="3">+C13+C14+C15+C16+C17+C18</f>
        <v>792240</v>
      </c>
      <c r="D12" s="116">
        <f t="shared" si="3"/>
        <v>789695</v>
      </c>
      <c r="E12" s="1223">
        <f t="shared" si="3"/>
        <v>888836</v>
      </c>
      <c r="F12" s="1120">
        <f t="shared" si="3"/>
        <v>907273</v>
      </c>
      <c r="G12" s="1120">
        <f t="shared" si="3"/>
        <v>907273</v>
      </c>
      <c r="H12" s="1560">
        <f t="shared" si="1"/>
        <v>1</v>
      </c>
      <c r="J12" s="3"/>
      <c r="K12" s="3"/>
      <c r="L12" s="3"/>
      <c r="M12" s="3"/>
      <c r="N12" s="3"/>
    </row>
    <row r="13" spans="1:31" s="117" customFormat="1">
      <c r="A13" s="108" t="s">
        <v>190</v>
      </c>
      <c r="B13" s="109" t="s">
        <v>93</v>
      </c>
      <c r="C13" s="1037">
        <v>230199</v>
      </c>
      <c r="D13" s="658">
        <v>231822</v>
      </c>
      <c r="E13" s="1224">
        <f>+'1.mell._Össz_Mérleg2019'!C13</f>
        <v>221900</v>
      </c>
      <c r="F13" s="1121">
        <f>+'1.mell._Össz_Mérleg2019'!D13</f>
        <v>226970</v>
      </c>
      <c r="G13" s="1121">
        <f>+'1.mell._Össz_Mérleg2019'!E13</f>
        <v>226970</v>
      </c>
      <c r="H13" s="1562">
        <f t="shared" si="1"/>
        <v>1</v>
      </c>
      <c r="I13" s="119"/>
      <c r="J13" s="3"/>
      <c r="K13" s="13"/>
      <c r="L13" s="13"/>
      <c r="M13" s="13"/>
      <c r="N13" s="13"/>
    </row>
    <row r="14" spans="1:31" s="117" customFormat="1">
      <c r="A14" s="108" t="s">
        <v>191</v>
      </c>
      <c r="B14" s="109" t="s">
        <v>94</v>
      </c>
      <c r="C14" s="1037">
        <v>226163</v>
      </c>
      <c r="D14" s="658">
        <v>223149</v>
      </c>
      <c r="E14" s="1224">
        <f>+'1.mell._Össz_Mérleg2019'!C14</f>
        <v>232153</v>
      </c>
      <c r="F14" s="1121">
        <f>+'1.mell._Össz_Mérleg2019'!D14</f>
        <v>236248</v>
      </c>
      <c r="G14" s="1121">
        <f>+'1.mell._Össz_Mérleg2019'!E14</f>
        <v>236248</v>
      </c>
      <c r="H14" s="1562">
        <f t="shared" si="1"/>
        <v>1</v>
      </c>
      <c r="I14" s="119"/>
      <c r="J14" s="3"/>
      <c r="K14" s="13"/>
      <c r="L14" s="13"/>
      <c r="M14" s="13"/>
      <c r="N14" s="13"/>
    </row>
    <row r="15" spans="1:31" s="117" customFormat="1">
      <c r="A15" s="108" t="s">
        <v>192</v>
      </c>
      <c r="B15" s="109" t="s">
        <v>95</v>
      </c>
      <c r="C15" s="1037">
        <v>263714</v>
      </c>
      <c r="D15" s="658">
        <v>254533</v>
      </c>
      <c r="E15" s="1224">
        <f>+'1.mell._Össz_Mérleg2019'!C15</f>
        <v>280259</v>
      </c>
      <c r="F15" s="1121">
        <f>+'1.mell._Össz_Mérleg2019'!D15</f>
        <v>297362</v>
      </c>
      <c r="G15" s="1121">
        <f>+'1.mell._Össz_Mérleg2019'!E15</f>
        <v>297362</v>
      </c>
      <c r="H15" s="1562">
        <f t="shared" si="1"/>
        <v>1</v>
      </c>
      <c r="I15" s="119"/>
      <c r="J15" s="3"/>
      <c r="K15" s="13"/>
      <c r="L15" s="13"/>
      <c r="M15" s="13"/>
      <c r="N15" s="13"/>
    </row>
    <row r="16" spans="1:31" s="117" customFormat="1">
      <c r="A16" s="108" t="s">
        <v>193</v>
      </c>
      <c r="B16" s="109" t="s">
        <v>96</v>
      </c>
      <c r="C16" s="1037">
        <v>18880</v>
      </c>
      <c r="D16" s="658">
        <v>21839</v>
      </c>
      <c r="E16" s="1224">
        <f>+'1.mell._Össz_Mérleg2019'!C16</f>
        <v>19679</v>
      </c>
      <c r="F16" s="1121">
        <f>+'1.mell._Össz_Mérleg2019'!D16</f>
        <v>22593</v>
      </c>
      <c r="G16" s="1121">
        <f>+'1.mell._Össz_Mérleg2019'!E16</f>
        <v>22593</v>
      </c>
      <c r="H16" s="1562">
        <f t="shared" si="1"/>
        <v>1</v>
      </c>
      <c r="I16" s="119"/>
      <c r="J16" s="3"/>
      <c r="K16" s="13"/>
      <c r="L16" s="13"/>
      <c r="M16" s="13"/>
      <c r="N16" s="13"/>
    </row>
    <row r="17" spans="1:14" s="117" customFormat="1">
      <c r="A17" s="108" t="s">
        <v>194</v>
      </c>
      <c r="B17" s="109" t="s">
        <v>899</v>
      </c>
      <c r="C17" s="1037">
        <v>51690</v>
      </c>
      <c r="D17" s="658">
        <v>58352</v>
      </c>
      <c r="E17" s="1224">
        <f>+'1.mell._Össz_Mérleg2019'!C17</f>
        <v>134845</v>
      </c>
      <c r="F17" s="1121">
        <f>+'1.mell._Össz_Mérleg2019'!D17</f>
        <v>124100</v>
      </c>
      <c r="G17" s="1121">
        <f>+'1.mell._Össz_Mérleg2019'!E17</f>
        <v>124100</v>
      </c>
      <c r="H17" s="1562">
        <f t="shared" si="1"/>
        <v>1</v>
      </c>
      <c r="I17" s="119"/>
      <c r="J17" s="3"/>
      <c r="K17" s="13"/>
      <c r="L17" s="13"/>
      <c r="M17" s="13"/>
      <c r="N17" s="13"/>
    </row>
    <row r="18" spans="1:14" s="117" customFormat="1">
      <c r="A18" s="108" t="s">
        <v>195</v>
      </c>
      <c r="B18" s="109" t="s">
        <v>900</v>
      </c>
      <c r="C18" s="1037">
        <v>1594</v>
      </c>
      <c r="D18" s="658"/>
      <c r="E18" s="1224">
        <f>+'1.mell._Össz_Mérleg2019'!C18</f>
        <v>0</v>
      </c>
      <c r="F18" s="1121">
        <f>+'1.mell._Össz_Mérleg2019'!D18</f>
        <v>0</v>
      </c>
      <c r="G18" s="1121">
        <f>+'1.mell._Össz_Mérleg2019'!E18</f>
        <v>0</v>
      </c>
      <c r="H18" s="1562" t="str">
        <f t="shared" si="1"/>
        <v>-</v>
      </c>
      <c r="I18" s="119"/>
      <c r="J18" s="3"/>
      <c r="K18" s="13"/>
      <c r="L18" s="13"/>
      <c r="M18" s="13"/>
      <c r="N18" s="13"/>
    </row>
    <row r="19" spans="1:14">
      <c r="A19" s="896" t="s">
        <v>55</v>
      </c>
      <c r="B19" s="897" t="s">
        <v>97</v>
      </c>
      <c r="C19" s="1038">
        <v>1701</v>
      </c>
      <c r="D19" s="868">
        <v>1543</v>
      </c>
      <c r="E19" s="1225">
        <f>+'1.mell._Össz_Mérleg2019'!C19</f>
        <v>3090</v>
      </c>
      <c r="F19" s="1122">
        <f>+'1.mell._Össz_Mérleg2019'!D19</f>
        <v>3007</v>
      </c>
      <c r="G19" s="1122">
        <f>+'1.mell._Össz_Mérleg2019'!E19</f>
        <v>3007</v>
      </c>
      <c r="H19" s="1562">
        <f t="shared" si="1"/>
        <v>1</v>
      </c>
      <c r="I19" s="119"/>
      <c r="J19" s="3"/>
    </row>
    <row r="20" spans="1:14">
      <c r="A20" s="896" t="s">
        <v>83</v>
      </c>
      <c r="B20" s="897" t="s">
        <v>98</v>
      </c>
      <c r="C20" s="1038"/>
      <c r="D20" s="868"/>
      <c r="E20" s="1225">
        <f>+'1.mell._Össz_Mérleg2019'!C20</f>
        <v>0</v>
      </c>
      <c r="F20" s="1122">
        <f>+'1.mell._Össz_Mérleg2019'!D20</f>
        <v>0</v>
      </c>
      <c r="G20" s="1122">
        <f>+'1.mell._Össz_Mérleg2019'!E20</f>
        <v>0</v>
      </c>
      <c r="H20" s="1562" t="str">
        <f t="shared" si="1"/>
        <v>-</v>
      </c>
      <c r="I20" s="119"/>
      <c r="J20" s="3"/>
    </row>
    <row r="21" spans="1:14">
      <c r="A21" s="896" t="s">
        <v>84</v>
      </c>
      <c r="B21" s="897" t="s">
        <v>99</v>
      </c>
      <c r="C21" s="1038"/>
      <c r="D21" s="868"/>
      <c r="E21" s="1225">
        <f>+'1.mell._Össz_Mérleg2019'!C21</f>
        <v>0</v>
      </c>
      <c r="F21" s="1122">
        <f>+'1.mell._Össz_Mérleg2019'!D21</f>
        <v>0</v>
      </c>
      <c r="G21" s="1122">
        <f>+'1.mell._Össz_Mérleg2019'!E21</f>
        <v>0</v>
      </c>
      <c r="H21" s="1562" t="str">
        <f t="shared" si="1"/>
        <v>-</v>
      </c>
      <c r="I21" s="119"/>
      <c r="J21" s="3"/>
    </row>
    <row r="22" spans="1:14">
      <c r="A22" s="896" t="s">
        <v>85</v>
      </c>
      <c r="B22" s="897" t="s">
        <v>100</v>
      </c>
      <c r="C22" s="1038"/>
      <c r="D22" s="868"/>
      <c r="E22" s="1225">
        <f>+'1.mell._Össz_Mérleg2019'!C22</f>
        <v>0</v>
      </c>
      <c r="F22" s="1122">
        <f>+'1.mell._Össz_Mérleg2019'!D22</f>
        <v>0</v>
      </c>
      <c r="G22" s="1122">
        <f>+'1.mell._Össz_Mérleg2019'!E22</f>
        <v>0</v>
      </c>
      <c r="H22" s="1562" t="str">
        <f t="shared" si="1"/>
        <v>-</v>
      </c>
      <c r="I22" s="119"/>
      <c r="J22" s="3"/>
    </row>
    <row r="23" spans="1:14">
      <c r="A23" s="898" t="s">
        <v>86</v>
      </c>
      <c r="B23" s="899" t="s">
        <v>101</v>
      </c>
      <c r="C23" s="1023">
        <v>454031</v>
      </c>
      <c r="D23" s="871">
        <v>800991</v>
      </c>
      <c r="E23" s="1226">
        <f>+'1.mell._Össz_Mérleg2019'!C23</f>
        <v>70880</v>
      </c>
      <c r="F23" s="1123">
        <f>+'1.mell._Össz_Mérleg2019'!D23</f>
        <v>555887</v>
      </c>
      <c r="G23" s="1123">
        <f>+'1.mell._Össz_Mérleg2019'!E23</f>
        <v>555887</v>
      </c>
      <c r="H23" s="1561">
        <f t="shared" si="1"/>
        <v>1</v>
      </c>
      <c r="I23" s="119"/>
      <c r="J23" s="3"/>
    </row>
    <row r="24" spans="1:14" s="117" customFormat="1" ht="12.75" thickBot="1">
      <c r="A24" s="900" t="s">
        <v>332</v>
      </c>
      <c r="B24" s="901" t="s">
        <v>333</v>
      </c>
      <c r="C24" s="1022">
        <v>162546</v>
      </c>
      <c r="D24" s="904">
        <v>564550</v>
      </c>
      <c r="E24" s="1227">
        <f>+'1.mell._Össz_Mérleg2019'!C24</f>
        <v>0</v>
      </c>
      <c r="F24" s="1124">
        <f>+'1.mell._Össz_Mérleg2019'!D24</f>
        <v>371747</v>
      </c>
      <c r="G24" s="1124">
        <f>+'1.mell._Össz_Mérleg2019'!E24</f>
        <v>371747</v>
      </c>
      <c r="H24" s="1561">
        <f t="shared" si="1"/>
        <v>1</v>
      </c>
      <c r="I24" s="119"/>
      <c r="J24" s="3"/>
      <c r="K24" s="13"/>
      <c r="L24" s="13"/>
      <c r="M24" s="13"/>
      <c r="N24" s="13"/>
    </row>
    <row r="25" spans="1:14" s="119" customFormat="1" ht="12.75" customHeight="1" thickBot="1">
      <c r="A25" s="884" t="s">
        <v>6</v>
      </c>
      <c r="B25" s="891" t="s">
        <v>785</v>
      </c>
      <c r="C25" s="1033">
        <f t="shared" ref="C25:G25" si="4">+C26+C27+C28+C29+C30+C31</f>
        <v>313142</v>
      </c>
      <c r="D25" s="1034">
        <f t="shared" si="4"/>
        <v>356668</v>
      </c>
      <c r="E25" s="1228">
        <f t="shared" si="4"/>
        <v>384050</v>
      </c>
      <c r="F25" s="1118">
        <f t="shared" si="4"/>
        <v>541722</v>
      </c>
      <c r="G25" s="1118">
        <f t="shared" si="4"/>
        <v>394432</v>
      </c>
      <c r="H25" s="1568">
        <f t="shared" si="1"/>
        <v>0.72810777483653977</v>
      </c>
      <c r="J25" s="3"/>
      <c r="K25" s="3"/>
      <c r="L25" s="3"/>
      <c r="M25" s="3"/>
      <c r="N25" s="3"/>
    </row>
    <row r="26" spans="1:14" ht="12.75" customHeight="1">
      <c r="A26" s="892" t="s">
        <v>58</v>
      </c>
      <c r="B26" s="113" t="s">
        <v>102</v>
      </c>
      <c r="C26" s="1039">
        <v>66</v>
      </c>
      <c r="D26" s="925">
        <v>62</v>
      </c>
      <c r="E26" s="1229">
        <f>+'1.mell._Össz_Mérleg2019'!C26</f>
        <v>60</v>
      </c>
      <c r="F26" s="1231">
        <f>+'1.mell._Össz_Mérleg2019'!D26</f>
        <v>57</v>
      </c>
      <c r="G26" s="1231">
        <f>+'1.mell._Össz_Mérleg2019'!E26</f>
        <v>57</v>
      </c>
      <c r="H26" s="1574">
        <f t="shared" si="1"/>
        <v>1</v>
      </c>
      <c r="I26" s="119"/>
      <c r="J26" s="3"/>
    </row>
    <row r="27" spans="1:14" ht="12.75" customHeight="1">
      <c r="A27" s="896" t="s">
        <v>59</v>
      </c>
      <c r="B27" s="897" t="s">
        <v>103</v>
      </c>
      <c r="C27" s="1038"/>
      <c r="D27" s="868"/>
      <c r="E27" s="1225">
        <f>+'1.mell._Össz_Mérleg2019'!C27</f>
        <v>0</v>
      </c>
      <c r="F27" s="1122">
        <f>+'1.mell._Össz_Mérleg2019'!D27</f>
        <v>0</v>
      </c>
      <c r="G27" s="1122">
        <f>+'1.mell._Össz_Mérleg2019'!E27</f>
        <v>0</v>
      </c>
      <c r="H27" s="1562" t="str">
        <f t="shared" si="1"/>
        <v>-</v>
      </c>
      <c r="I27" s="119"/>
      <c r="J27" s="3"/>
    </row>
    <row r="28" spans="1:14" ht="12.75" customHeight="1">
      <c r="A28" s="896" t="s">
        <v>60</v>
      </c>
      <c r="B28" s="897" t="s">
        <v>104</v>
      </c>
      <c r="C28" s="1038"/>
      <c r="D28" s="868"/>
      <c r="E28" s="1225">
        <f>+'1.mell._Össz_Mérleg2019'!C28</f>
        <v>0</v>
      </c>
      <c r="F28" s="1122">
        <f>+'1.mell._Össz_Mérleg2019'!D28</f>
        <v>0</v>
      </c>
      <c r="G28" s="1122">
        <f>+'1.mell._Össz_Mérleg2019'!E28</f>
        <v>0</v>
      </c>
      <c r="H28" s="1562" t="str">
        <f t="shared" si="1"/>
        <v>-</v>
      </c>
      <c r="I28" s="119"/>
      <c r="J28" s="3"/>
    </row>
    <row r="29" spans="1:14" ht="12.75" customHeight="1">
      <c r="A29" s="896" t="s">
        <v>180</v>
      </c>
      <c r="B29" s="897" t="s">
        <v>105</v>
      </c>
      <c r="C29" s="1038">
        <v>62211</v>
      </c>
      <c r="D29" s="868">
        <v>60575</v>
      </c>
      <c r="E29" s="1225">
        <f>+'1.mell._Össz_Mérleg2019'!C29</f>
        <v>62000</v>
      </c>
      <c r="F29" s="1122">
        <f>+'1.mell._Össz_Mérleg2019'!D29</f>
        <v>66838</v>
      </c>
      <c r="G29" s="1122">
        <f>+'1.mell._Össz_Mérleg2019'!E29</f>
        <v>63970</v>
      </c>
      <c r="H29" s="1562">
        <f t="shared" si="1"/>
        <v>0.95709027798557711</v>
      </c>
      <c r="I29" s="119"/>
      <c r="J29" s="3"/>
    </row>
    <row r="30" spans="1:14" ht="12.75" customHeight="1">
      <c r="A30" s="898" t="s">
        <v>181</v>
      </c>
      <c r="B30" s="899" t="s">
        <v>106</v>
      </c>
      <c r="C30" s="1038">
        <v>239839</v>
      </c>
      <c r="D30" s="868">
        <v>290084</v>
      </c>
      <c r="E30" s="1225">
        <f>+'1.mell._Össz_Mérleg2019'!C30</f>
        <v>307720</v>
      </c>
      <c r="F30" s="1122">
        <f>+'1.mell._Össz_Mérleg2019'!D30</f>
        <v>464025</v>
      </c>
      <c r="G30" s="1122">
        <f>+'1.mell._Össz_Mérleg2019'!E30</f>
        <v>326697</v>
      </c>
      <c r="H30" s="1562">
        <f t="shared" si="1"/>
        <v>0.7040504283174398</v>
      </c>
      <c r="I30" s="119"/>
      <c r="J30" s="3"/>
    </row>
    <row r="31" spans="1:14" ht="12.75" customHeight="1" thickBot="1">
      <c r="A31" s="898" t="s">
        <v>784</v>
      </c>
      <c r="B31" s="899" t="s">
        <v>786</v>
      </c>
      <c r="C31" s="1023">
        <v>11026</v>
      </c>
      <c r="D31" s="871">
        <v>5947</v>
      </c>
      <c r="E31" s="1226">
        <f>+'1.mell._Össz_Mérleg2019'!C31</f>
        <v>14270</v>
      </c>
      <c r="F31" s="1123">
        <f>+'1.mell._Össz_Mérleg2019'!D31</f>
        <v>10802</v>
      </c>
      <c r="G31" s="1123">
        <f>+'1.mell._Össz_Mérleg2019'!E31</f>
        <v>3708</v>
      </c>
      <c r="H31" s="1561">
        <f t="shared" si="1"/>
        <v>0.34326976485835958</v>
      </c>
      <c r="I31" s="119"/>
      <c r="J31" s="3"/>
    </row>
    <row r="32" spans="1:14" s="119" customFormat="1" ht="12.75" customHeight="1" thickBot="1">
      <c r="A32" s="884" t="s">
        <v>3</v>
      </c>
      <c r="B32" s="891" t="s">
        <v>975</v>
      </c>
      <c r="C32" s="1035">
        <f t="shared" ref="C32:G32" si="5">+C33+C34+C35+C36+C37+C38+C39+C40+C41+C42+C43</f>
        <v>147411</v>
      </c>
      <c r="D32" s="112">
        <f t="shared" si="5"/>
        <v>124554</v>
      </c>
      <c r="E32" s="1222">
        <f t="shared" si="5"/>
        <v>132543</v>
      </c>
      <c r="F32" s="1119">
        <f t="shared" si="5"/>
        <v>161795</v>
      </c>
      <c r="G32" s="1119">
        <f t="shared" si="5"/>
        <v>129585</v>
      </c>
      <c r="H32" s="1558">
        <f t="shared" si="1"/>
        <v>0.80092091844618185</v>
      </c>
      <c r="J32" s="3"/>
      <c r="K32" s="3"/>
      <c r="L32" s="3"/>
      <c r="M32" s="3"/>
      <c r="N32" s="3"/>
    </row>
    <row r="33" spans="1:14" ht="12.75" customHeight="1">
      <c r="A33" s="892" t="s">
        <v>61</v>
      </c>
      <c r="B33" s="113" t="s">
        <v>107</v>
      </c>
      <c r="C33" s="1036">
        <v>10051</v>
      </c>
      <c r="D33" s="116">
        <v>8714</v>
      </c>
      <c r="E33" s="1223">
        <f>+'1.mell._Össz_Mérleg2019'!C33</f>
        <v>0</v>
      </c>
      <c r="F33" s="1120">
        <f>+'1.mell._Össz_Mérleg2019'!D33</f>
        <v>9530</v>
      </c>
      <c r="G33" s="1120">
        <f>+'1.mell._Össz_Mérleg2019'!E33</f>
        <v>9464</v>
      </c>
      <c r="H33" s="1560">
        <f t="shared" si="1"/>
        <v>0.99307450157397692</v>
      </c>
      <c r="I33" s="672"/>
      <c r="J33" s="3"/>
    </row>
    <row r="34" spans="1:14" ht="12.75" customHeight="1">
      <c r="A34" s="896" t="s">
        <v>62</v>
      </c>
      <c r="B34" s="897" t="s">
        <v>108</v>
      </c>
      <c r="C34" s="1038">
        <v>37812</v>
      </c>
      <c r="D34" s="868">
        <v>54287</v>
      </c>
      <c r="E34" s="1225">
        <f>+'1.mell._Össz_Mérleg2019'!C34</f>
        <v>57881</v>
      </c>
      <c r="F34" s="1122">
        <f>+'1.mell._Össz_Mérleg2019'!D34</f>
        <v>62949</v>
      </c>
      <c r="G34" s="1122">
        <f>+'1.mell._Össz_Mérleg2019'!E34</f>
        <v>48453</v>
      </c>
      <c r="H34" s="1562">
        <f t="shared" si="1"/>
        <v>0.76971834342086454</v>
      </c>
      <c r="J34" s="3"/>
    </row>
    <row r="35" spans="1:14" ht="12.75" customHeight="1">
      <c r="A35" s="896" t="s">
        <v>63</v>
      </c>
      <c r="B35" s="897" t="s">
        <v>109</v>
      </c>
      <c r="C35" s="1038">
        <v>23744</v>
      </c>
      <c r="D35" s="868">
        <v>16417</v>
      </c>
      <c r="E35" s="1225">
        <f>+'1.mell._Össz_Mérleg2019'!C35</f>
        <v>8830</v>
      </c>
      <c r="F35" s="1122">
        <f>+'1.mell._Össz_Mérleg2019'!D35</f>
        <v>21928</v>
      </c>
      <c r="G35" s="1122">
        <f>+'1.mell._Össz_Mérleg2019'!E35</f>
        <v>19649</v>
      </c>
      <c r="H35" s="1562">
        <f t="shared" si="1"/>
        <v>0.89606895293688438</v>
      </c>
      <c r="J35" s="3"/>
    </row>
    <row r="36" spans="1:14" ht="12.75" customHeight="1">
      <c r="A36" s="896" t="s">
        <v>64</v>
      </c>
      <c r="B36" s="897" t="s">
        <v>110</v>
      </c>
      <c r="C36" s="1038">
        <v>9315</v>
      </c>
      <c r="D36" s="868">
        <v>236</v>
      </c>
      <c r="E36" s="1225">
        <f>+'1.mell._Össz_Mérleg2019'!C36</f>
        <v>236</v>
      </c>
      <c r="F36" s="1122">
        <f>+'1.mell._Össz_Mérleg2019'!D36</f>
        <v>473</v>
      </c>
      <c r="G36" s="1122">
        <f>+'1.mell._Össz_Mérleg2019'!E36</f>
        <v>473</v>
      </c>
      <c r="H36" s="1562">
        <f t="shared" si="1"/>
        <v>1</v>
      </c>
      <c r="J36" s="3"/>
    </row>
    <row r="37" spans="1:14" ht="12.75" customHeight="1">
      <c r="A37" s="896" t="s">
        <v>65</v>
      </c>
      <c r="B37" s="897" t="s">
        <v>111</v>
      </c>
      <c r="C37" s="1038">
        <v>9094</v>
      </c>
      <c r="D37" s="868">
        <v>8465</v>
      </c>
      <c r="E37" s="1225">
        <f>+'1.mell._Össz_Mérleg2019'!C37</f>
        <v>8734</v>
      </c>
      <c r="F37" s="1122">
        <f>+'1.mell._Össz_Mérleg2019'!D37</f>
        <v>8469</v>
      </c>
      <c r="G37" s="1122">
        <f>+'1.mell._Össz_Mérleg2019'!E37</f>
        <v>8469</v>
      </c>
      <c r="H37" s="1562">
        <f t="shared" si="1"/>
        <v>1</v>
      </c>
      <c r="J37" s="3"/>
    </row>
    <row r="38" spans="1:14" ht="12.75" customHeight="1">
      <c r="A38" s="896" t="s">
        <v>222</v>
      </c>
      <c r="B38" s="897" t="s">
        <v>112</v>
      </c>
      <c r="C38" s="1038">
        <v>21658</v>
      </c>
      <c r="D38" s="868">
        <v>21996</v>
      </c>
      <c r="E38" s="1225">
        <f>+'1.mell._Össz_Mérleg2019'!C38</f>
        <v>20016</v>
      </c>
      <c r="F38" s="1122">
        <f>+'1.mell._Össz_Mérleg2019'!D38</f>
        <v>26188</v>
      </c>
      <c r="G38" s="1122">
        <f>+'1.mell._Össz_Mérleg2019'!E38</f>
        <v>21284</v>
      </c>
      <c r="H38" s="1562">
        <f t="shared" si="1"/>
        <v>0.81273865892775321</v>
      </c>
      <c r="J38" s="3"/>
    </row>
    <row r="39" spans="1:14" ht="12.75" customHeight="1">
      <c r="A39" s="896" t="s">
        <v>223</v>
      </c>
      <c r="B39" s="897" t="s">
        <v>113</v>
      </c>
      <c r="C39" s="1038">
        <v>10264</v>
      </c>
      <c r="D39" s="868">
        <v>6293</v>
      </c>
      <c r="E39" s="1225">
        <f>+'1.mell._Össz_Mérleg2019'!C39</f>
        <v>17899</v>
      </c>
      <c r="F39" s="1122">
        <f>+'1.mell._Össz_Mérleg2019'!D39</f>
        <v>20233</v>
      </c>
      <c r="G39" s="1122">
        <f>+'1.mell._Össz_Mérleg2019'!E39</f>
        <v>19220</v>
      </c>
      <c r="H39" s="1562">
        <f t="shared" si="1"/>
        <v>0.94993327731923094</v>
      </c>
      <c r="J39" s="3"/>
    </row>
    <row r="40" spans="1:14" ht="12.75" customHeight="1">
      <c r="A40" s="896" t="s">
        <v>224</v>
      </c>
      <c r="B40" s="897" t="s">
        <v>985</v>
      </c>
      <c r="C40" s="1038">
        <v>11</v>
      </c>
      <c r="D40" s="868">
        <v>1</v>
      </c>
      <c r="E40" s="1225">
        <f>+'1.mell._Össz_Mérleg2019'!C40</f>
        <v>0</v>
      </c>
      <c r="F40" s="1122">
        <f>+'1.mell._Össz_Mérleg2019'!D40</f>
        <v>0</v>
      </c>
      <c r="G40" s="1122">
        <f>+'1.mell._Össz_Mérleg2019'!E40</f>
        <v>0</v>
      </c>
      <c r="H40" s="1562" t="str">
        <f t="shared" si="1"/>
        <v>-</v>
      </c>
      <c r="J40" s="3"/>
    </row>
    <row r="41" spans="1:14" ht="12.75" customHeight="1">
      <c r="A41" s="896" t="s">
        <v>225</v>
      </c>
      <c r="B41" s="897" t="s">
        <v>114</v>
      </c>
      <c r="C41" s="1038">
        <v>17087</v>
      </c>
      <c r="D41" s="868">
        <v>3880</v>
      </c>
      <c r="E41" s="1225">
        <f>+'1.mell._Össz_Mérleg2019'!C41</f>
        <v>0</v>
      </c>
      <c r="F41" s="1122">
        <f>+'1.mell._Össz_Mérleg2019'!D41</f>
        <v>0</v>
      </c>
      <c r="G41" s="1122">
        <f>+'1.mell._Össz_Mérleg2019'!E41</f>
        <v>0</v>
      </c>
      <c r="H41" s="1562" t="str">
        <f t="shared" si="1"/>
        <v>-</v>
      </c>
      <c r="J41" s="3"/>
    </row>
    <row r="42" spans="1:14" ht="12.75" customHeight="1">
      <c r="A42" s="898" t="s">
        <v>226</v>
      </c>
      <c r="B42" s="899" t="s">
        <v>902</v>
      </c>
      <c r="C42" s="1038">
        <v>229</v>
      </c>
      <c r="D42" s="868">
        <v>786</v>
      </c>
      <c r="E42" s="1225">
        <f>+'1.mell._Össz_Mérleg2019'!C42</f>
        <v>0</v>
      </c>
      <c r="F42" s="1122">
        <f>+'1.mell._Össz_Mérleg2019'!D42</f>
        <v>482</v>
      </c>
      <c r="G42" s="1122">
        <f>+'1.mell._Össz_Mérleg2019'!E42</f>
        <v>482</v>
      </c>
      <c r="H42" s="1562">
        <f t="shared" si="1"/>
        <v>1</v>
      </c>
      <c r="J42" s="3"/>
    </row>
    <row r="43" spans="1:14" ht="12.75" customHeight="1" thickBot="1">
      <c r="A43" s="898" t="s">
        <v>901</v>
      </c>
      <c r="B43" s="899" t="s">
        <v>903</v>
      </c>
      <c r="C43" s="1023">
        <v>8146</v>
      </c>
      <c r="D43" s="871">
        <v>3479</v>
      </c>
      <c r="E43" s="1226">
        <f>+'1.mell._Össz_Mérleg2019'!C43</f>
        <v>18947</v>
      </c>
      <c r="F43" s="1123">
        <f>+'1.mell._Össz_Mérleg2019'!D43</f>
        <v>11543</v>
      </c>
      <c r="G43" s="1123">
        <f>+'1.mell._Össz_Mérleg2019'!E43</f>
        <v>2091</v>
      </c>
      <c r="H43" s="1561">
        <f t="shared" si="1"/>
        <v>0.18114874815905743</v>
      </c>
      <c r="J43" s="3"/>
    </row>
    <row r="44" spans="1:14" s="119" customFormat="1" ht="12.75" thickBot="1">
      <c r="A44" s="884" t="s">
        <v>16</v>
      </c>
      <c r="B44" s="891" t="s">
        <v>976</v>
      </c>
      <c r="C44" s="1035">
        <f t="shared" ref="C44:G44" si="6">+C45+C46+C47+C48+C49</f>
        <v>14619</v>
      </c>
      <c r="D44" s="112">
        <f t="shared" si="6"/>
        <v>3492</v>
      </c>
      <c r="E44" s="1222">
        <f t="shared" si="6"/>
        <v>5800</v>
      </c>
      <c r="F44" s="1119">
        <f t="shared" si="6"/>
        <v>54816</v>
      </c>
      <c r="G44" s="1119">
        <f t="shared" si="6"/>
        <v>47805</v>
      </c>
      <c r="H44" s="1558">
        <f t="shared" si="1"/>
        <v>0.87209938704028023</v>
      </c>
      <c r="J44" s="3"/>
      <c r="K44" s="3"/>
      <c r="L44" s="3"/>
      <c r="M44" s="3"/>
      <c r="N44" s="3"/>
    </row>
    <row r="45" spans="1:14" ht="12.75" customHeight="1">
      <c r="A45" s="892" t="s">
        <v>227</v>
      </c>
      <c r="B45" s="113" t="s">
        <v>115</v>
      </c>
      <c r="C45" s="1036"/>
      <c r="D45" s="116"/>
      <c r="E45" s="1223">
        <f>+'1.mell._Össz_Mérleg2019'!C45</f>
        <v>0</v>
      </c>
      <c r="F45" s="1120">
        <f>+'1.mell._Össz_Mérleg2019'!D45</f>
        <v>0</v>
      </c>
      <c r="G45" s="1120">
        <f>+'1.mell._Össz_Mérleg2019'!E45</f>
        <v>0</v>
      </c>
      <c r="H45" s="1560" t="str">
        <f t="shared" si="1"/>
        <v>-</v>
      </c>
      <c r="J45" s="3"/>
    </row>
    <row r="46" spans="1:14" ht="12.75" customHeight="1">
      <c r="A46" s="892" t="s">
        <v>228</v>
      </c>
      <c r="B46" s="113" t="s">
        <v>904</v>
      </c>
      <c r="C46" s="1036"/>
      <c r="D46" s="116"/>
      <c r="E46" s="1223">
        <f>+'1.mell._Össz_Mérleg2019'!C46</f>
        <v>0</v>
      </c>
      <c r="F46" s="1120">
        <f>+'1.mell._Össz_Mérleg2019'!D46</f>
        <v>0</v>
      </c>
      <c r="G46" s="1120">
        <f>+'1.mell._Össz_Mérleg2019'!E46</f>
        <v>0</v>
      </c>
      <c r="H46" s="1560" t="str">
        <f t="shared" si="1"/>
        <v>-</v>
      </c>
      <c r="J46" s="3"/>
    </row>
    <row r="47" spans="1:14" ht="12.75" customHeight="1">
      <c r="A47" s="892" t="s">
        <v>229</v>
      </c>
      <c r="B47" s="113" t="s">
        <v>905</v>
      </c>
      <c r="C47" s="1036"/>
      <c r="D47" s="116"/>
      <c r="E47" s="1223">
        <f>+'1.mell._Össz_Mérleg2019'!C47</f>
        <v>0</v>
      </c>
      <c r="F47" s="1120">
        <f>+'1.mell._Össz_Mérleg2019'!D47</f>
        <v>0</v>
      </c>
      <c r="G47" s="1120">
        <f>+'1.mell._Össz_Mérleg2019'!E47</f>
        <v>0</v>
      </c>
      <c r="H47" s="1560" t="str">
        <f t="shared" si="1"/>
        <v>-</v>
      </c>
      <c r="J47" s="3"/>
    </row>
    <row r="48" spans="1:14" ht="12.75" customHeight="1">
      <c r="A48" s="896" t="s">
        <v>257</v>
      </c>
      <c r="B48" s="897" t="s">
        <v>906</v>
      </c>
      <c r="C48" s="1038">
        <v>13769</v>
      </c>
      <c r="D48" s="868">
        <v>3280</v>
      </c>
      <c r="E48" s="1225">
        <f>+'1.mell._Össz_Mérleg2019'!C48</f>
        <v>4000</v>
      </c>
      <c r="F48" s="1122">
        <f>+'1.mell._Össz_Mérleg2019'!D48</f>
        <v>51011</v>
      </c>
      <c r="G48" s="1122">
        <f>+'1.mell._Össz_Mérleg2019'!E48</f>
        <v>44885</v>
      </c>
      <c r="H48" s="1562">
        <f t="shared" si="1"/>
        <v>0.87990825508223713</v>
      </c>
      <c r="J48" s="3"/>
    </row>
    <row r="49" spans="1:14" ht="12.75" customHeight="1" thickBot="1">
      <c r="A49" s="898" t="s">
        <v>258</v>
      </c>
      <c r="B49" s="899" t="s">
        <v>907</v>
      </c>
      <c r="C49" s="1023">
        <v>850</v>
      </c>
      <c r="D49" s="871">
        <v>212</v>
      </c>
      <c r="E49" s="1226">
        <f>+'1.mell._Össz_Mérleg2019'!C49</f>
        <v>1800</v>
      </c>
      <c r="F49" s="1123">
        <f>+'1.mell._Össz_Mérleg2019'!D49</f>
        <v>3805</v>
      </c>
      <c r="G49" s="1123">
        <f>+'1.mell._Össz_Mérleg2019'!E49</f>
        <v>2920</v>
      </c>
      <c r="H49" s="1561">
        <f t="shared" si="1"/>
        <v>0.76741130091984233</v>
      </c>
      <c r="J49" s="3"/>
    </row>
    <row r="50" spans="1:14" s="119" customFormat="1" ht="12.75" thickBot="1">
      <c r="A50" s="884" t="s">
        <v>15</v>
      </c>
      <c r="B50" s="905" t="s">
        <v>300</v>
      </c>
      <c r="C50" s="1035">
        <f t="shared" ref="C50:G50" si="7">+C51+C58+C64</f>
        <v>1897360</v>
      </c>
      <c r="D50" s="112">
        <f t="shared" si="7"/>
        <v>1341037</v>
      </c>
      <c r="E50" s="1222">
        <f t="shared" si="7"/>
        <v>389249</v>
      </c>
      <c r="F50" s="1119">
        <f t="shared" si="7"/>
        <v>1227138</v>
      </c>
      <c r="G50" s="1119">
        <f t="shared" si="7"/>
        <v>1220568</v>
      </c>
      <c r="H50" s="1558">
        <f t="shared" si="1"/>
        <v>0.9946460789251087</v>
      </c>
      <c r="J50" s="3"/>
      <c r="K50" s="3"/>
      <c r="L50" s="3"/>
      <c r="M50" s="3"/>
      <c r="N50" s="3"/>
    </row>
    <row r="51" spans="1:14" s="119" customFormat="1" ht="12.75" customHeight="1" thickBot="1">
      <c r="A51" s="884" t="s">
        <v>14</v>
      </c>
      <c r="B51" s="891" t="s">
        <v>301</v>
      </c>
      <c r="C51" s="1035">
        <f t="shared" ref="C51:G51" si="8">+C52+C53+C54+C55+C56</f>
        <v>1766086</v>
      </c>
      <c r="D51" s="112">
        <f t="shared" si="8"/>
        <v>1331164</v>
      </c>
      <c r="E51" s="1222">
        <f t="shared" si="8"/>
        <v>377399</v>
      </c>
      <c r="F51" s="1119">
        <f t="shared" si="8"/>
        <v>1215708</v>
      </c>
      <c r="G51" s="1119">
        <f t="shared" si="8"/>
        <v>1215708</v>
      </c>
      <c r="H51" s="1558">
        <f t="shared" si="1"/>
        <v>1</v>
      </c>
      <c r="J51" s="3"/>
      <c r="K51" s="3"/>
      <c r="L51" s="3"/>
      <c r="M51" s="3"/>
      <c r="N51" s="3"/>
    </row>
    <row r="52" spans="1:14">
      <c r="A52" s="892" t="s">
        <v>185</v>
      </c>
      <c r="B52" s="113" t="s">
        <v>116</v>
      </c>
      <c r="C52" s="1036">
        <v>3322</v>
      </c>
      <c r="D52" s="116">
        <v>22708</v>
      </c>
      <c r="E52" s="1223">
        <f>+'1.mell._Össz_Mérleg2019'!C52</f>
        <v>0</v>
      </c>
      <c r="F52" s="1120">
        <f>+'1.mell._Össz_Mérleg2019'!D52</f>
        <v>382626</v>
      </c>
      <c r="G52" s="1120">
        <f>+'1.mell._Össz_Mérleg2019'!E52</f>
        <v>382626</v>
      </c>
      <c r="H52" s="1560">
        <f t="shared" si="1"/>
        <v>1</v>
      </c>
      <c r="J52" s="3"/>
    </row>
    <row r="53" spans="1:14">
      <c r="A53" s="896" t="s">
        <v>186</v>
      </c>
      <c r="B53" s="897" t="s">
        <v>117</v>
      </c>
      <c r="C53" s="1038"/>
      <c r="D53" s="868"/>
      <c r="E53" s="1225">
        <f>+'1.mell._Össz_Mérleg2019'!C53</f>
        <v>0</v>
      </c>
      <c r="F53" s="1122">
        <f>+'1.mell._Össz_Mérleg2019'!D53</f>
        <v>0</v>
      </c>
      <c r="G53" s="1122">
        <f>+'1.mell._Össz_Mérleg2019'!E53</f>
        <v>0</v>
      </c>
      <c r="H53" s="1562" t="str">
        <f t="shared" si="1"/>
        <v>-</v>
      </c>
      <c r="J53" s="3"/>
    </row>
    <row r="54" spans="1:14">
      <c r="A54" s="896" t="s">
        <v>187</v>
      </c>
      <c r="B54" s="897" t="s">
        <v>118</v>
      </c>
      <c r="C54" s="1038"/>
      <c r="D54" s="868"/>
      <c r="E54" s="1225">
        <f>+'1.mell._Össz_Mérleg2019'!C54</f>
        <v>0</v>
      </c>
      <c r="F54" s="1122">
        <f>+'1.mell._Össz_Mérleg2019'!D54</f>
        <v>0</v>
      </c>
      <c r="G54" s="1122">
        <f>+'1.mell._Össz_Mérleg2019'!E54</f>
        <v>0</v>
      </c>
      <c r="H54" s="1562" t="str">
        <f t="shared" si="1"/>
        <v>-</v>
      </c>
      <c r="J54" s="3"/>
    </row>
    <row r="55" spans="1:14">
      <c r="A55" s="896" t="s">
        <v>188</v>
      </c>
      <c r="B55" s="897" t="s">
        <v>119</v>
      </c>
      <c r="C55" s="1038"/>
      <c r="D55" s="868"/>
      <c r="E55" s="1225">
        <f>+'1.mell._Össz_Mérleg2019'!C55</f>
        <v>0</v>
      </c>
      <c r="F55" s="1122">
        <f>+'1.mell._Össz_Mérleg2019'!D55</f>
        <v>0</v>
      </c>
      <c r="G55" s="1122">
        <f>+'1.mell._Össz_Mérleg2019'!E55</f>
        <v>0</v>
      </c>
      <c r="H55" s="1562" t="str">
        <f t="shared" si="1"/>
        <v>-</v>
      </c>
      <c r="J55" s="3"/>
    </row>
    <row r="56" spans="1:14">
      <c r="A56" s="898" t="s">
        <v>189</v>
      </c>
      <c r="B56" s="899" t="s">
        <v>120</v>
      </c>
      <c r="C56" s="1023">
        <v>1762764</v>
      </c>
      <c r="D56" s="871">
        <v>1308456</v>
      </c>
      <c r="E56" s="1226">
        <f>+'1.mell._Össz_Mérleg2019'!C56</f>
        <v>377399</v>
      </c>
      <c r="F56" s="1123">
        <f>+'1.mell._Össz_Mérleg2019'!D56</f>
        <v>833082</v>
      </c>
      <c r="G56" s="1123">
        <f>+'1.mell._Össz_Mérleg2019'!E56</f>
        <v>833082</v>
      </c>
      <c r="H56" s="1561">
        <f t="shared" si="1"/>
        <v>1</v>
      </c>
      <c r="J56" s="3"/>
    </row>
    <row r="57" spans="1:14" s="117" customFormat="1" ht="12.75" thickBot="1">
      <c r="A57" s="900" t="s">
        <v>334</v>
      </c>
      <c r="B57" s="901" t="s">
        <v>338</v>
      </c>
      <c r="C57" s="1022">
        <v>1757796</v>
      </c>
      <c r="D57" s="904">
        <v>1289663</v>
      </c>
      <c r="E57" s="1227">
        <f>+'1.mell._Össz_Mérleg2019'!C57</f>
        <v>0</v>
      </c>
      <c r="F57" s="1124">
        <f>+'1.mell._Össz_Mérleg2019'!D57</f>
        <v>828472</v>
      </c>
      <c r="G57" s="1124">
        <f>+'1.mell._Össz_Mérleg2019'!E57</f>
        <v>828472</v>
      </c>
      <c r="H57" s="1561">
        <f t="shared" si="1"/>
        <v>1</v>
      </c>
      <c r="J57" s="3"/>
      <c r="K57" s="13"/>
      <c r="L57" s="13"/>
      <c r="M57" s="13"/>
      <c r="N57" s="13"/>
    </row>
    <row r="58" spans="1:14" s="119" customFormat="1" ht="12.75" customHeight="1" thickBot="1">
      <c r="A58" s="884" t="s">
        <v>13</v>
      </c>
      <c r="B58" s="891" t="s">
        <v>302</v>
      </c>
      <c r="C58" s="1035">
        <f t="shared" ref="C58:G58" si="9">+C59+C60+C61+C62+C63</f>
        <v>125604</v>
      </c>
      <c r="D58" s="112">
        <f t="shared" si="9"/>
        <v>6864</v>
      </c>
      <c r="E58" s="1222">
        <f t="shared" si="9"/>
        <v>10350</v>
      </c>
      <c r="F58" s="1119">
        <f t="shared" si="9"/>
        <v>4878</v>
      </c>
      <c r="G58" s="1119">
        <f t="shared" si="9"/>
        <v>4022</v>
      </c>
      <c r="H58" s="1558">
        <f t="shared" si="1"/>
        <v>0.82451824518245187</v>
      </c>
      <c r="J58" s="3"/>
      <c r="K58" s="3"/>
      <c r="L58" s="3"/>
      <c r="M58" s="3"/>
      <c r="N58" s="3"/>
    </row>
    <row r="59" spans="1:14" ht="12.75" customHeight="1">
      <c r="A59" s="892" t="s">
        <v>66</v>
      </c>
      <c r="B59" s="113" t="s">
        <v>121</v>
      </c>
      <c r="C59" s="1036"/>
      <c r="D59" s="116"/>
      <c r="E59" s="1223">
        <f>+'1.mell._Össz_Mérleg2019'!C59</f>
        <v>0</v>
      </c>
      <c r="F59" s="1120">
        <f>+'1.mell._Össz_Mérleg2019'!D59</f>
        <v>0</v>
      </c>
      <c r="G59" s="1120">
        <f>+'1.mell._Össz_Mérleg2019'!E59</f>
        <v>0</v>
      </c>
      <c r="H59" s="1560" t="str">
        <f t="shared" si="1"/>
        <v>-</v>
      </c>
      <c r="J59" s="3"/>
    </row>
    <row r="60" spans="1:14" ht="12.75" customHeight="1">
      <c r="A60" s="896" t="s">
        <v>67</v>
      </c>
      <c r="B60" s="897" t="s">
        <v>122</v>
      </c>
      <c r="C60" s="1038">
        <v>122879</v>
      </c>
      <c r="D60" s="868">
        <v>5264</v>
      </c>
      <c r="E60" s="1225">
        <f>+'1.mell._Össz_Mérleg2019'!C60</f>
        <v>10350</v>
      </c>
      <c r="F60" s="1122">
        <f>+'1.mell._Össz_Mérleg2019'!D60</f>
        <v>4463</v>
      </c>
      <c r="G60" s="1122">
        <f>+'1.mell._Össz_Mérleg2019'!E60</f>
        <v>3607</v>
      </c>
      <c r="H60" s="1562">
        <f t="shared" si="1"/>
        <v>0.80820076181940403</v>
      </c>
      <c r="J60" s="3"/>
    </row>
    <row r="61" spans="1:14" ht="12.75" customHeight="1">
      <c r="A61" s="896" t="s">
        <v>68</v>
      </c>
      <c r="B61" s="897" t="s">
        <v>123</v>
      </c>
      <c r="C61" s="1038">
        <v>2725</v>
      </c>
      <c r="D61" s="868">
        <v>1600</v>
      </c>
      <c r="E61" s="1225">
        <f>+'1.mell._Össz_Mérleg2019'!C61</f>
        <v>0</v>
      </c>
      <c r="F61" s="1122">
        <f>+'1.mell._Össz_Mérleg2019'!D61</f>
        <v>415</v>
      </c>
      <c r="G61" s="1122">
        <f>+'1.mell._Össz_Mérleg2019'!E61</f>
        <v>415</v>
      </c>
      <c r="H61" s="1562">
        <f t="shared" si="1"/>
        <v>1</v>
      </c>
      <c r="J61" s="3"/>
    </row>
    <row r="62" spans="1:14" ht="12.75" customHeight="1">
      <c r="A62" s="896" t="s">
        <v>230</v>
      </c>
      <c r="B62" s="897" t="s">
        <v>124</v>
      </c>
      <c r="C62" s="1038"/>
      <c r="D62" s="868"/>
      <c r="E62" s="1225">
        <f>+'1.mell._Össz_Mérleg2019'!C62</f>
        <v>0</v>
      </c>
      <c r="F62" s="1122">
        <f>+'1.mell._Össz_Mérleg2019'!D62</f>
        <v>0</v>
      </c>
      <c r="G62" s="1122">
        <f>+'1.mell._Össz_Mérleg2019'!E62</f>
        <v>0</v>
      </c>
      <c r="H62" s="1562" t="str">
        <f t="shared" si="1"/>
        <v>-</v>
      </c>
      <c r="J62" s="3"/>
    </row>
    <row r="63" spans="1:14" ht="12.75" customHeight="1" thickBot="1">
      <c r="A63" s="898" t="s">
        <v>231</v>
      </c>
      <c r="B63" s="899" t="s">
        <v>125</v>
      </c>
      <c r="C63" s="1023"/>
      <c r="D63" s="871"/>
      <c r="E63" s="1226">
        <f>+'1.mell._Össz_Mérleg2019'!C63</f>
        <v>0</v>
      </c>
      <c r="F63" s="1123">
        <f>+'1.mell._Össz_Mérleg2019'!D63</f>
        <v>0</v>
      </c>
      <c r="G63" s="1123">
        <f>+'1.mell._Össz_Mérleg2019'!E63</f>
        <v>0</v>
      </c>
      <c r="H63" s="1561" t="str">
        <f t="shared" si="1"/>
        <v>-</v>
      </c>
      <c r="J63" s="3"/>
    </row>
    <row r="64" spans="1:14" s="119" customFormat="1" ht="12.75" thickBot="1">
      <c r="A64" s="884" t="s">
        <v>12</v>
      </c>
      <c r="B64" s="891" t="s">
        <v>911</v>
      </c>
      <c r="C64" s="1035">
        <f t="shared" ref="C64:G64" si="10">+C65+C66+C67+C68+C69</f>
        <v>5670</v>
      </c>
      <c r="D64" s="112">
        <f t="shared" si="10"/>
        <v>3009</v>
      </c>
      <c r="E64" s="1222">
        <f t="shared" si="10"/>
        <v>1500</v>
      </c>
      <c r="F64" s="1119">
        <f t="shared" si="10"/>
        <v>6552</v>
      </c>
      <c r="G64" s="1119">
        <f t="shared" si="10"/>
        <v>838</v>
      </c>
      <c r="H64" s="1558">
        <f t="shared" si="1"/>
        <v>0.12789987789987789</v>
      </c>
      <c r="J64" s="3"/>
      <c r="K64" s="3"/>
      <c r="L64" s="3"/>
      <c r="M64" s="3"/>
      <c r="N64" s="3"/>
    </row>
    <row r="65" spans="1:14">
      <c r="A65" s="892" t="s">
        <v>69</v>
      </c>
      <c r="B65" s="113" t="s">
        <v>126</v>
      </c>
      <c r="C65" s="1036"/>
      <c r="D65" s="116"/>
      <c r="E65" s="1223">
        <f>+'1.mell._Össz_Mérleg2019'!C65</f>
        <v>0</v>
      </c>
      <c r="F65" s="1120">
        <f>+'1.mell._Össz_Mérleg2019'!D65</f>
        <v>0</v>
      </c>
      <c r="G65" s="1120">
        <f>+'1.mell._Össz_Mérleg2019'!E65</f>
        <v>0</v>
      </c>
      <c r="H65" s="1560" t="str">
        <f t="shared" si="1"/>
        <v>-</v>
      </c>
      <c r="J65" s="3"/>
    </row>
    <row r="66" spans="1:14">
      <c r="A66" s="892" t="s">
        <v>70</v>
      </c>
      <c r="B66" s="113" t="s">
        <v>912</v>
      </c>
      <c r="C66" s="1036"/>
      <c r="D66" s="116"/>
      <c r="E66" s="1223">
        <f>+'1.mell._Össz_Mérleg2019'!C66</f>
        <v>0</v>
      </c>
      <c r="F66" s="1120">
        <f>+'1.mell._Össz_Mérleg2019'!D66</f>
        <v>0</v>
      </c>
      <c r="G66" s="1120">
        <f>+'1.mell._Össz_Mérleg2019'!E66</f>
        <v>0</v>
      </c>
      <c r="H66" s="1560" t="str">
        <f t="shared" si="1"/>
        <v>-</v>
      </c>
      <c r="J66" s="3"/>
    </row>
    <row r="67" spans="1:14">
      <c r="A67" s="892" t="s">
        <v>71</v>
      </c>
      <c r="B67" s="113" t="s">
        <v>913</v>
      </c>
      <c r="C67" s="1036"/>
      <c r="D67" s="116"/>
      <c r="E67" s="1223">
        <f>+'1.mell._Össz_Mérleg2019'!C67</f>
        <v>0</v>
      </c>
      <c r="F67" s="1120">
        <f>+'1.mell._Össz_Mérleg2019'!D67</f>
        <v>0</v>
      </c>
      <c r="G67" s="1120">
        <f>+'1.mell._Össz_Mérleg2019'!E67</f>
        <v>0</v>
      </c>
      <c r="H67" s="1560" t="str">
        <f t="shared" si="1"/>
        <v>-</v>
      </c>
      <c r="J67" s="3"/>
    </row>
    <row r="68" spans="1:14">
      <c r="A68" s="896" t="s">
        <v>72</v>
      </c>
      <c r="B68" s="897" t="s">
        <v>909</v>
      </c>
      <c r="C68" s="1038">
        <v>5670</v>
      </c>
      <c r="D68" s="868">
        <v>1009</v>
      </c>
      <c r="E68" s="1225">
        <f>+'1.mell._Össz_Mérleg2019'!C68</f>
        <v>0</v>
      </c>
      <c r="F68" s="1122">
        <f>+'1.mell._Össz_Mérleg2019'!D68</f>
        <v>6517</v>
      </c>
      <c r="G68" s="1122">
        <f>+'1.mell._Össz_Mérleg2019'!E68</f>
        <v>838</v>
      </c>
      <c r="H68" s="1562">
        <f t="shared" si="1"/>
        <v>0.1285867730550867</v>
      </c>
      <c r="J68" s="3"/>
    </row>
    <row r="69" spans="1:14" ht="12.75" thickBot="1">
      <c r="A69" s="898" t="s">
        <v>908</v>
      </c>
      <c r="B69" s="899" t="s">
        <v>910</v>
      </c>
      <c r="C69" s="1023"/>
      <c r="D69" s="871">
        <v>2000</v>
      </c>
      <c r="E69" s="1226">
        <f>+'1.mell._Össz_Mérleg2019'!C69</f>
        <v>1500</v>
      </c>
      <c r="F69" s="1123">
        <f>+'1.mell._Össz_Mérleg2019'!D69</f>
        <v>35</v>
      </c>
      <c r="G69" s="1123">
        <f>+'1.mell._Össz_Mérleg2019'!E69</f>
        <v>0</v>
      </c>
      <c r="H69" s="1561">
        <f t="shared" si="1"/>
        <v>0</v>
      </c>
      <c r="J69" s="3"/>
    </row>
    <row r="70" spans="1:14" s="119" customFormat="1" ht="12.75" thickBot="1">
      <c r="A70" s="884" t="s">
        <v>11</v>
      </c>
      <c r="B70" s="905" t="s">
        <v>303</v>
      </c>
      <c r="C70" s="1035">
        <f t="shared" ref="C70:G70" si="11">+C10+C50</f>
        <v>3620504</v>
      </c>
      <c r="D70" s="112">
        <f t="shared" si="11"/>
        <v>3417980</v>
      </c>
      <c r="E70" s="1222">
        <f t="shared" si="11"/>
        <v>1874448</v>
      </c>
      <c r="F70" s="1119">
        <f t="shared" si="11"/>
        <v>3451638</v>
      </c>
      <c r="G70" s="1119">
        <f t="shared" si="11"/>
        <v>3258557</v>
      </c>
      <c r="H70" s="1558">
        <f t="shared" si="1"/>
        <v>0.94406105159347531</v>
      </c>
      <c r="J70" s="3"/>
      <c r="K70" s="3"/>
      <c r="L70" s="3"/>
      <c r="M70" s="3"/>
      <c r="N70" s="3"/>
    </row>
    <row r="71" spans="1:14" s="119" customFormat="1" ht="12.75" thickBot="1">
      <c r="A71" s="884" t="s">
        <v>10</v>
      </c>
      <c r="B71" s="906" t="s">
        <v>304</v>
      </c>
      <c r="C71" s="1035">
        <f t="shared" ref="C71:G71" si="12">+C72</f>
        <v>760963</v>
      </c>
      <c r="D71" s="112">
        <f t="shared" si="12"/>
        <v>449560</v>
      </c>
      <c r="E71" s="1222">
        <f t="shared" si="12"/>
        <v>2738772</v>
      </c>
      <c r="F71" s="1119">
        <f t="shared" si="12"/>
        <v>704310</v>
      </c>
      <c r="G71" s="1119">
        <f t="shared" si="12"/>
        <v>704310</v>
      </c>
      <c r="H71" s="1558">
        <f t="shared" si="1"/>
        <v>1</v>
      </c>
      <c r="J71" s="3"/>
      <c r="K71" s="3"/>
      <c r="L71" s="3"/>
      <c r="M71" s="3"/>
      <c r="N71" s="3"/>
    </row>
    <row r="72" spans="1:14" s="119" customFormat="1" ht="12.75" thickBot="1">
      <c r="A72" s="884" t="s">
        <v>9</v>
      </c>
      <c r="B72" s="891" t="s">
        <v>920</v>
      </c>
      <c r="C72" s="1035">
        <f t="shared" ref="C72:G72" si="13">+C73+C83+C84+C85</f>
        <v>760963</v>
      </c>
      <c r="D72" s="112">
        <f t="shared" si="13"/>
        <v>449560</v>
      </c>
      <c r="E72" s="1222">
        <f t="shared" si="13"/>
        <v>2738772</v>
      </c>
      <c r="F72" s="1119">
        <f t="shared" si="13"/>
        <v>704310</v>
      </c>
      <c r="G72" s="1119">
        <f t="shared" si="13"/>
        <v>704310</v>
      </c>
      <c r="H72" s="1558">
        <f t="shared" si="1"/>
        <v>1</v>
      </c>
      <c r="J72" s="3"/>
      <c r="K72" s="3"/>
      <c r="L72" s="3"/>
      <c r="M72" s="3"/>
      <c r="N72" s="3"/>
    </row>
    <row r="73" spans="1:14">
      <c r="A73" s="892" t="s">
        <v>73</v>
      </c>
      <c r="B73" s="113" t="s">
        <v>915</v>
      </c>
      <c r="C73" s="1036">
        <f t="shared" ref="C73:G73" si="14">+C74+C75+C76+C77+C78+C79+C80+C81+C82</f>
        <v>760963</v>
      </c>
      <c r="D73" s="116">
        <f t="shared" si="14"/>
        <v>449560</v>
      </c>
      <c r="E73" s="1223">
        <f t="shared" si="14"/>
        <v>2738772</v>
      </c>
      <c r="F73" s="1120">
        <f t="shared" si="14"/>
        <v>704310</v>
      </c>
      <c r="G73" s="1120">
        <f t="shared" si="14"/>
        <v>704310</v>
      </c>
      <c r="H73" s="1560">
        <f t="shared" si="1"/>
        <v>1</v>
      </c>
      <c r="J73" s="3"/>
    </row>
    <row r="74" spans="1:14" s="117" customFormat="1">
      <c r="A74" s="108" t="s">
        <v>196</v>
      </c>
      <c r="B74" s="109" t="s">
        <v>914</v>
      </c>
      <c r="C74" s="1037">
        <v>613394</v>
      </c>
      <c r="D74" s="658">
        <v>85565</v>
      </c>
      <c r="E74" s="1224">
        <f>+'1.mell._Össz_Mérleg2019'!C74</f>
        <v>0</v>
      </c>
      <c r="F74" s="1121">
        <f>+'1.mell._Össz_Mérleg2019'!D74</f>
        <v>65277</v>
      </c>
      <c r="G74" s="1121">
        <f>+'1.mell._Össz_Mérleg2019'!E74</f>
        <v>65277</v>
      </c>
      <c r="H74" s="1562">
        <f t="shared" ref="H74:H102" si="15">IF(ISERROR(G74/F74),"-",G74/F74)</f>
        <v>1</v>
      </c>
      <c r="J74" s="3"/>
      <c r="K74" s="13"/>
      <c r="L74" s="13"/>
      <c r="M74" s="13"/>
      <c r="N74" s="13"/>
    </row>
    <row r="75" spans="1:14" s="117" customFormat="1">
      <c r="A75" s="108" t="s">
        <v>197</v>
      </c>
      <c r="B75" s="109" t="s">
        <v>247</v>
      </c>
      <c r="C75" s="1037"/>
      <c r="D75" s="658"/>
      <c r="E75" s="1224">
        <f>+'1.mell._Össz_Mérleg2019'!C75</f>
        <v>0</v>
      </c>
      <c r="F75" s="1121">
        <f>+'1.mell._Össz_Mérleg2019'!D75</f>
        <v>0</v>
      </c>
      <c r="G75" s="1121">
        <f>+'1.mell._Össz_Mérleg2019'!E75</f>
        <v>0</v>
      </c>
      <c r="H75" s="1562" t="str">
        <f t="shared" si="15"/>
        <v>-</v>
      </c>
      <c r="J75" s="3"/>
      <c r="K75" s="13"/>
      <c r="L75" s="13"/>
      <c r="M75" s="13"/>
      <c r="N75" s="13"/>
    </row>
    <row r="76" spans="1:14" s="117" customFormat="1">
      <c r="A76" s="108" t="s">
        <v>198</v>
      </c>
      <c r="B76" s="109" t="s">
        <v>248</v>
      </c>
      <c r="C76" s="1037">
        <v>122223</v>
      </c>
      <c r="D76" s="658">
        <v>337324</v>
      </c>
      <c r="E76" s="1224">
        <f>+'1.mell._Össz_Mérleg2019'!C76</f>
        <v>2738772</v>
      </c>
      <c r="F76" s="1121">
        <f>+'1.mell._Össz_Mérleg2019'!D76</f>
        <v>608587</v>
      </c>
      <c r="G76" s="1121">
        <f>+'1.mell._Össz_Mérleg2019'!E76</f>
        <v>608587</v>
      </c>
      <c r="H76" s="1562">
        <f t="shared" si="15"/>
        <v>1</v>
      </c>
      <c r="J76" s="3"/>
      <c r="K76" s="13"/>
      <c r="L76" s="13"/>
      <c r="M76" s="13"/>
      <c r="N76" s="13"/>
    </row>
    <row r="77" spans="1:14" s="117" customFormat="1">
      <c r="A77" s="108" t="s">
        <v>199</v>
      </c>
      <c r="B77" s="109" t="s">
        <v>249</v>
      </c>
      <c r="C77" s="1037">
        <v>25346</v>
      </c>
      <c r="D77" s="658">
        <v>26671</v>
      </c>
      <c r="E77" s="1224">
        <f>+'1.mell._Össz_Mérleg2019'!C77</f>
        <v>0</v>
      </c>
      <c r="F77" s="1121">
        <f>+'1.mell._Össz_Mérleg2019'!D77</f>
        <v>30446</v>
      </c>
      <c r="G77" s="1121">
        <f>+'1.mell._Össz_Mérleg2019'!E77</f>
        <v>30446</v>
      </c>
      <c r="H77" s="1562">
        <f t="shared" si="15"/>
        <v>1</v>
      </c>
      <c r="J77" s="3"/>
      <c r="K77" s="13"/>
      <c r="L77" s="13"/>
      <c r="M77" s="13"/>
      <c r="N77" s="13"/>
    </row>
    <row r="78" spans="1:14" s="117" customFormat="1">
      <c r="A78" s="108" t="s">
        <v>200</v>
      </c>
      <c r="B78" s="109" t="s">
        <v>250</v>
      </c>
      <c r="C78" s="1037"/>
      <c r="D78" s="658"/>
      <c r="E78" s="1224">
        <f>+'1.mell._Össz_Mérleg2019'!C78</f>
        <v>0</v>
      </c>
      <c r="F78" s="1121">
        <f>+'1.mell._Össz_Mérleg2019'!D78</f>
        <v>0</v>
      </c>
      <c r="G78" s="1121">
        <f>+'1.mell._Össz_Mérleg2019'!E78</f>
        <v>0</v>
      </c>
      <c r="H78" s="1562" t="str">
        <f t="shared" si="15"/>
        <v>-</v>
      </c>
      <c r="J78" s="3"/>
      <c r="K78" s="13"/>
      <c r="L78" s="13"/>
      <c r="M78" s="13"/>
      <c r="N78" s="13"/>
    </row>
    <row r="79" spans="1:14" s="117" customFormat="1">
      <c r="A79" s="1656" t="s">
        <v>201</v>
      </c>
      <c r="B79" s="1657" t="s">
        <v>251</v>
      </c>
      <c r="C79" s="1658"/>
      <c r="D79" s="1659"/>
      <c r="E79" s="1660">
        <f>+'1.mell._Össz_Mérleg2019'!C79</f>
        <v>0</v>
      </c>
      <c r="F79" s="1661">
        <f>+'1.mell._Össz_Mérleg2019'!D79</f>
        <v>0</v>
      </c>
      <c r="G79" s="1661">
        <f>+'1.mell._Össz_Mérleg2019'!E79</f>
        <v>0</v>
      </c>
      <c r="H79" s="1662" t="str">
        <f t="shared" si="15"/>
        <v>-</v>
      </c>
      <c r="J79" s="3"/>
      <c r="K79" s="13"/>
      <c r="L79" s="13"/>
      <c r="M79" s="13"/>
      <c r="N79" s="13"/>
    </row>
    <row r="80" spans="1:14" s="117" customFormat="1">
      <c r="A80" s="108" t="s">
        <v>204</v>
      </c>
      <c r="B80" s="109" t="s">
        <v>252</v>
      </c>
      <c r="C80" s="1037"/>
      <c r="D80" s="658"/>
      <c r="E80" s="1224">
        <f>+'1.mell._Össz_Mérleg2019'!C80</f>
        <v>0</v>
      </c>
      <c r="F80" s="1121">
        <f>+'1.mell._Össz_Mérleg2019'!D80</f>
        <v>0</v>
      </c>
      <c r="G80" s="1121">
        <f>+'1.mell._Össz_Mérleg2019'!E80</f>
        <v>0</v>
      </c>
      <c r="H80" s="1562" t="str">
        <f t="shared" si="15"/>
        <v>-</v>
      </c>
      <c r="J80" s="3"/>
      <c r="K80" s="13"/>
      <c r="L80" s="13"/>
      <c r="M80" s="13"/>
      <c r="N80" s="13"/>
    </row>
    <row r="81" spans="1:14" s="117" customFormat="1">
      <c r="A81" s="108" t="s">
        <v>202</v>
      </c>
      <c r="B81" s="109" t="s">
        <v>245</v>
      </c>
      <c r="C81" s="1037"/>
      <c r="D81" s="658"/>
      <c r="E81" s="1224">
        <f>+'1.mell._Össz_Mérleg2019'!C81</f>
        <v>0</v>
      </c>
      <c r="F81" s="1121">
        <f>+'1.mell._Össz_Mérleg2019'!D81</f>
        <v>0</v>
      </c>
      <c r="G81" s="1121">
        <f>+'1.mell._Össz_Mérleg2019'!E81</f>
        <v>0</v>
      </c>
      <c r="H81" s="1562" t="str">
        <f t="shared" si="15"/>
        <v>-</v>
      </c>
      <c r="J81" s="3"/>
      <c r="K81" s="13"/>
      <c r="L81" s="13"/>
      <c r="M81" s="13"/>
      <c r="N81" s="13"/>
    </row>
    <row r="82" spans="1:14" s="117" customFormat="1">
      <c r="A82" s="108" t="s">
        <v>916</v>
      </c>
      <c r="B82" s="109" t="s">
        <v>917</v>
      </c>
      <c r="C82" s="1037"/>
      <c r="D82" s="658"/>
      <c r="E82" s="1224">
        <f>+'1.mell._Össz_Mérleg2019'!C82</f>
        <v>0</v>
      </c>
      <c r="F82" s="1121">
        <f>+'1.mell._Össz_Mérleg2019'!D82</f>
        <v>0</v>
      </c>
      <c r="G82" s="1121">
        <f>+'1.mell._Össz_Mérleg2019'!E82</f>
        <v>0</v>
      </c>
      <c r="H82" s="1562" t="str">
        <f t="shared" si="15"/>
        <v>-</v>
      </c>
      <c r="J82" s="3"/>
      <c r="K82" s="13"/>
      <c r="L82" s="13"/>
      <c r="M82" s="13"/>
      <c r="N82" s="13"/>
    </row>
    <row r="83" spans="1:14">
      <c r="A83" s="896" t="s">
        <v>74</v>
      </c>
      <c r="B83" s="897" t="s">
        <v>243</v>
      </c>
      <c r="C83" s="1038"/>
      <c r="D83" s="868"/>
      <c r="E83" s="1225">
        <f>+'1.mell._Össz_Mérleg2019'!C83</f>
        <v>0</v>
      </c>
      <c r="F83" s="1122">
        <f>+'1.mell._Össz_Mérleg2019'!D83</f>
        <v>0</v>
      </c>
      <c r="G83" s="1122">
        <f>+'1.mell._Össz_Mérleg2019'!E83</f>
        <v>0</v>
      </c>
      <c r="H83" s="1562" t="str">
        <f t="shared" si="15"/>
        <v>-</v>
      </c>
      <c r="J83" s="3"/>
    </row>
    <row r="84" spans="1:14">
      <c r="A84" s="898" t="s">
        <v>203</v>
      </c>
      <c r="B84" s="899" t="s">
        <v>244</v>
      </c>
      <c r="C84" s="1023"/>
      <c r="D84" s="871"/>
      <c r="E84" s="1226">
        <f>+'1.mell._Össz_Mérleg2019'!C84</f>
        <v>0</v>
      </c>
      <c r="F84" s="1123">
        <f>+'1.mell._Össz_Mérleg2019'!D84</f>
        <v>0</v>
      </c>
      <c r="G84" s="1123">
        <f>+'1.mell._Össz_Mérleg2019'!E84</f>
        <v>0</v>
      </c>
      <c r="H84" s="1561" t="str">
        <f t="shared" si="15"/>
        <v>-</v>
      </c>
      <c r="J84" s="3"/>
    </row>
    <row r="85" spans="1:14" ht="12.75" thickBot="1">
      <c r="A85" s="898" t="s">
        <v>918</v>
      </c>
      <c r="B85" s="899" t="s">
        <v>919</v>
      </c>
      <c r="C85" s="1023"/>
      <c r="D85" s="871"/>
      <c r="E85" s="1226">
        <f>+'1.mell._Össz_Mérleg2019'!C85</f>
        <v>0</v>
      </c>
      <c r="F85" s="1123">
        <f>+'1.mell._Össz_Mérleg2019'!D85</f>
        <v>0</v>
      </c>
      <c r="G85" s="1123">
        <f>+'1.mell._Össz_Mérleg2019'!E85</f>
        <v>0</v>
      </c>
      <c r="H85" s="1561" t="str">
        <f t="shared" si="15"/>
        <v>-</v>
      </c>
      <c r="J85" s="3"/>
    </row>
    <row r="86" spans="1:14" s="119" customFormat="1" ht="12.75" thickBot="1">
      <c r="A86" s="884" t="s">
        <v>45</v>
      </c>
      <c r="B86" s="906" t="s">
        <v>305</v>
      </c>
      <c r="C86" s="1035">
        <f t="shared" ref="C86:G86" si="16">+C87</f>
        <v>241350</v>
      </c>
      <c r="D86" s="112">
        <f t="shared" si="16"/>
        <v>1857788</v>
      </c>
      <c r="E86" s="1222">
        <f t="shared" si="16"/>
        <v>9999</v>
      </c>
      <c r="F86" s="1119">
        <f t="shared" si="16"/>
        <v>2492294</v>
      </c>
      <c r="G86" s="1119">
        <f t="shared" si="16"/>
        <v>2492294</v>
      </c>
      <c r="H86" s="1558">
        <f t="shared" si="15"/>
        <v>1</v>
      </c>
      <c r="J86" s="3"/>
      <c r="K86" s="3"/>
      <c r="L86" s="3"/>
      <c r="M86" s="3"/>
      <c r="N86" s="3"/>
    </row>
    <row r="87" spans="1:14" s="119" customFormat="1" ht="12.75" thickBot="1">
      <c r="A87" s="884" t="s">
        <v>44</v>
      </c>
      <c r="B87" s="891" t="s">
        <v>922</v>
      </c>
      <c r="C87" s="1035">
        <f t="shared" ref="C87:G87" si="17">+C88+C98+C99+C100</f>
        <v>241350</v>
      </c>
      <c r="D87" s="112">
        <f t="shared" si="17"/>
        <v>1857788</v>
      </c>
      <c r="E87" s="1222">
        <f t="shared" si="17"/>
        <v>9999</v>
      </c>
      <c r="F87" s="1119">
        <f t="shared" si="17"/>
        <v>2492294</v>
      </c>
      <c r="G87" s="1119">
        <f t="shared" si="17"/>
        <v>2492294</v>
      </c>
      <c r="H87" s="1558">
        <f t="shared" si="15"/>
        <v>1</v>
      </c>
      <c r="J87" s="3"/>
      <c r="K87" s="3"/>
      <c r="L87" s="3"/>
      <c r="M87" s="3"/>
      <c r="N87" s="3"/>
    </row>
    <row r="88" spans="1:14">
      <c r="A88" s="892" t="s">
        <v>232</v>
      </c>
      <c r="B88" s="113" t="s">
        <v>977</v>
      </c>
      <c r="C88" s="1036">
        <f t="shared" ref="C88:G88" si="18">+C89+C90+C91+C92+C93+C94+C95+C96+C97</f>
        <v>241350</v>
      </c>
      <c r="D88" s="116">
        <f t="shared" si="18"/>
        <v>1857788</v>
      </c>
      <c r="E88" s="1223">
        <f t="shared" si="18"/>
        <v>9999</v>
      </c>
      <c r="F88" s="1120">
        <f t="shared" si="18"/>
        <v>2492294</v>
      </c>
      <c r="G88" s="1120">
        <f t="shared" si="18"/>
        <v>2492294</v>
      </c>
      <c r="H88" s="1560">
        <f t="shared" si="15"/>
        <v>1</v>
      </c>
      <c r="J88" s="3"/>
    </row>
    <row r="89" spans="1:14" s="117" customFormat="1">
      <c r="A89" s="108" t="s">
        <v>233</v>
      </c>
      <c r="B89" s="109" t="s">
        <v>914</v>
      </c>
      <c r="C89" s="1037"/>
      <c r="D89" s="658"/>
      <c r="E89" s="1224">
        <f>+'1.mell._Össz_Mérleg2019'!C89</f>
        <v>9999</v>
      </c>
      <c r="F89" s="1121">
        <f>+'1.mell._Össz_Mérleg2019'!D89</f>
        <v>0</v>
      </c>
      <c r="G89" s="1121">
        <f>+'1.mell._Össz_Mérleg2019'!E89</f>
        <v>0</v>
      </c>
      <c r="H89" s="1562" t="str">
        <f t="shared" si="15"/>
        <v>-</v>
      </c>
      <c r="J89" s="3"/>
      <c r="K89" s="13"/>
      <c r="L89" s="13"/>
      <c r="M89" s="13"/>
      <c r="N89" s="13"/>
    </row>
    <row r="90" spans="1:14" s="117" customFormat="1">
      <c r="A90" s="108" t="s">
        <v>234</v>
      </c>
      <c r="B90" s="109" t="s">
        <v>247</v>
      </c>
      <c r="C90" s="1037"/>
      <c r="D90" s="658"/>
      <c r="E90" s="1224">
        <f>+'1.mell._Össz_Mérleg2019'!C90</f>
        <v>0</v>
      </c>
      <c r="F90" s="1121">
        <f>+'1.mell._Össz_Mérleg2019'!D90</f>
        <v>0</v>
      </c>
      <c r="G90" s="1121">
        <f>+'1.mell._Össz_Mérleg2019'!E90</f>
        <v>0</v>
      </c>
      <c r="H90" s="1562" t="str">
        <f t="shared" si="15"/>
        <v>-</v>
      </c>
      <c r="J90" s="3"/>
      <c r="K90" s="13"/>
      <c r="L90" s="13"/>
      <c r="M90" s="13"/>
      <c r="N90" s="13"/>
    </row>
    <row r="91" spans="1:14" s="117" customFormat="1">
      <c r="A91" s="108" t="s">
        <v>235</v>
      </c>
      <c r="B91" s="109" t="s">
        <v>248</v>
      </c>
      <c r="C91" s="1037">
        <v>241350</v>
      </c>
      <c r="D91" s="658">
        <v>1857788</v>
      </c>
      <c r="E91" s="1224">
        <f>+'1.mell._Össz_Mérleg2019'!C91</f>
        <v>0</v>
      </c>
      <c r="F91" s="1121">
        <f>+'1.mell._Össz_Mérleg2019'!D91</f>
        <v>2492294</v>
      </c>
      <c r="G91" s="1121">
        <f>+'1.mell._Össz_Mérleg2019'!E91</f>
        <v>2492294</v>
      </c>
      <c r="H91" s="1562">
        <f t="shared" si="15"/>
        <v>1</v>
      </c>
      <c r="J91" s="3"/>
      <c r="K91" s="13"/>
      <c r="L91" s="13"/>
      <c r="M91" s="13"/>
      <c r="N91" s="13"/>
    </row>
    <row r="92" spans="1:14" s="117" customFormat="1">
      <c r="A92" s="108" t="s">
        <v>236</v>
      </c>
      <c r="B92" s="109" t="s">
        <v>249</v>
      </c>
      <c r="C92" s="1037"/>
      <c r="D92" s="658"/>
      <c r="E92" s="1224">
        <f>+'1.mell._Össz_Mérleg2019'!C92</f>
        <v>0</v>
      </c>
      <c r="F92" s="1121">
        <f>+'1.mell._Össz_Mérleg2019'!D92</f>
        <v>0</v>
      </c>
      <c r="G92" s="1121">
        <f>+'1.mell._Össz_Mérleg2019'!E92</f>
        <v>0</v>
      </c>
      <c r="H92" s="1562" t="str">
        <f t="shared" si="15"/>
        <v>-</v>
      </c>
      <c r="J92" s="3"/>
      <c r="K92" s="13"/>
      <c r="L92" s="13"/>
      <c r="M92" s="13"/>
      <c r="N92" s="13"/>
    </row>
    <row r="93" spans="1:14" s="117" customFormat="1">
      <c r="A93" s="108" t="s">
        <v>237</v>
      </c>
      <c r="B93" s="109" t="s">
        <v>250</v>
      </c>
      <c r="C93" s="1037"/>
      <c r="D93" s="658"/>
      <c r="E93" s="1224">
        <f>+'1.mell._Össz_Mérleg2019'!C93</f>
        <v>0</v>
      </c>
      <c r="F93" s="1121">
        <f>+'1.mell._Össz_Mérleg2019'!D93</f>
        <v>0</v>
      </c>
      <c r="G93" s="1121">
        <f>+'1.mell._Össz_Mérleg2019'!E93</f>
        <v>0</v>
      </c>
      <c r="H93" s="1562" t="str">
        <f t="shared" si="15"/>
        <v>-</v>
      </c>
      <c r="J93" s="3"/>
      <c r="K93" s="13"/>
      <c r="L93" s="13"/>
      <c r="M93" s="13"/>
      <c r="N93" s="13"/>
    </row>
    <row r="94" spans="1:14" s="117" customFormat="1">
      <c r="A94" s="1656" t="s">
        <v>238</v>
      </c>
      <c r="B94" s="1657" t="s">
        <v>251</v>
      </c>
      <c r="C94" s="1658"/>
      <c r="D94" s="1659"/>
      <c r="E94" s="1660">
        <f>+'1.mell._Össz_Mérleg2019'!C94</f>
        <v>0</v>
      </c>
      <c r="F94" s="1661">
        <f>+'1.mell._Össz_Mérleg2019'!D94</f>
        <v>0</v>
      </c>
      <c r="G94" s="1661">
        <f>+'1.mell._Össz_Mérleg2019'!E94</f>
        <v>0</v>
      </c>
      <c r="H94" s="1662" t="str">
        <f t="shared" si="15"/>
        <v>-</v>
      </c>
      <c r="J94" s="3"/>
      <c r="K94" s="13"/>
      <c r="L94" s="13"/>
      <c r="M94" s="13"/>
      <c r="N94" s="13"/>
    </row>
    <row r="95" spans="1:14" s="117" customFormat="1">
      <c r="A95" s="108" t="s">
        <v>239</v>
      </c>
      <c r="B95" s="109" t="s">
        <v>252</v>
      </c>
      <c r="C95" s="1037"/>
      <c r="D95" s="658"/>
      <c r="E95" s="1224">
        <f>+'1.mell._Össz_Mérleg2019'!C95</f>
        <v>0</v>
      </c>
      <c r="F95" s="1121">
        <f>+'1.mell._Össz_Mérleg2019'!D95</f>
        <v>0</v>
      </c>
      <c r="G95" s="1121">
        <f>+'1.mell._Össz_Mérleg2019'!E95</f>
        <v>0</v>
      </c>
      <c r="H95" s="1562" t="str">
        <f t="shared" si="15"/>
        <v>-</v>
      </c>
      <c r="J95" s="3"/>
      <c r="K95" s="13"/>
      <c r="L95" s="13"/>
      <c r="M95" s="13"/>
      <c r="N95" s="13"/>
    </row>
    <row r="96" spans="1:14" s="117" customFormat="1">
      <c r="A96" s="108" t="s">
        <v>240</v>
      </c>
      <c r="B96" s="109" t="s">
        <v>245</v>
      </c>
      <c r="C96" s="1037"/>
      <c r="D96" s="658"/>
      <c r="E96" s="1224">
        <f>+'1.mell._Össz_Mérleg2019'!C96</f>
        <v>0</v>
      </c>
      <c r="F96" s="1121">
        <f>+'1.mell._Össz_Mérleg2019'!D96</f>
        <v>0</v>
      </c>
      <c r="G96" s="1121">
        <f>+'1.mell._Össz_Mérleg2019'!E96</f>
        <v>0</v>
      </c>
      <c r="H96" s="1562" t="str">
        <f t="shared" si="15"/>
        <v>-</v>
      </c>
      <c r="J96" s="3"/>
      <c r="K96" s="13"/>
      <c r="L96" s="13"/>
      <c r="M96" s="13"/>
      <c r="N96" s="13"/>
    </row>
    <row r="97" spans="1:14" s="117" customFormat="1">
      <c r="A97" s="108" t="s">
        <v>921</v>
      </c>
      <c r="B97" s="109" t="s">
        <v>917</v>
      </c>
      <c r="C97" s="1037"/>
      <c r="D97" s="658"/>
      <c r="E97" s="1224">
        <f>+'1.mell._Össz_Mérleg2019'!C97</f>
        <v>0</v>
      </c>
      <c r="F97" s="1121">
        <f>+'1.mell._Össz_Mérleg2019'!D97</f>
        <v>0</v>
      </c>
      <c r="G97" s="1121">
        <f>+'1.mell._Össz_Mérleg2019'!E97</f>
        <v>0</v>
      </c>
      <c r="H97" s="1562" t="str">
        <f t="shared" si="15"/>
        <v>-</v>
      </c>
      <c r="J97" s="3"/>
      <c r="K97" s="13"/>
      <c r="L97" s="13"/>
      <c r="M97" s="13"/>
      <c r="N97" s="13"/>
    </row>
    <row r="98" spans="1:14">
      <c r="A98" s="896" t="s">
        <v>241</v>
      </c>
      <c r="B98" s="897" t="s">
        <v>243</v>
      </c>
      <c r="C98" s="1038"/>
      <c r="D98" s="868"/>
      <c r="E98" s="1225">
        <f>+'1.mell._Össz_Mérleg2019'!C98</f>
        <v>0</v>
      </c>
      <c r="F98" s="1122">
        <f>+'1.mell._Össz_Mérleg2019'!D98</f>
        <v>0</v>
      </c>
      <c r="G98" s="1122">
        <f>+'1.mell._Össz_Mérleg2019'!E98</f>
        <v>0</v>
      </c>
      <c r="H98" s="1562" t="str">
        <f t="shared" si="15"/>
        <v>-</v>
      </c>
      <c r="J98" s="3"/>
    </row>
    <row r="99" spans="1:14">
      <c r="A99" s="898" t="s">
        <v>242</v>
      </c>
      <c r="B99" s="899" t="s">
        <v>244</v>
      </c>
      <c r="C99" s="1023"/>
      <c r="D99" s="871"/>
      <c r="E99" s="1226">
        <f>+'1.mell._Össz_Mérleg2019'!C99</f>
        <v>0</v>
      </c>
      <c r="F99" s="1123">
        <f>+'1.mell._Össz_Mérleg2019'!D99</f>
        <v>0</v>
      </c>
      <c r="G99" s="1123">
        <f>+'1.mell._Össz_Mérleg2019'!E99</f>
        <v>0</v>
      </c>
      <c r="H99" s="1561" t="str">
        <f t="shared" si="15"/>
        <v>-</v>
      </c>
      <c r="J99" s="3"/>
    </row>
    <row r="100" spans="1:14" ht="12.75" thickBot="1">
      <c r="A100" s="898" t="s">
        <v>923</v>
      </c>
      <c r="B100" s="899" t="s">
        <v>919</v>
      </c>
      <c r="C100" s="1023"/>
      <c r="D100" s="871"/>
      <c r="E100" s="1226">
        <f>+'1.mell._Össz_Mérleg2019'!C100</f>
        <v>0</v>
      </c>
      <c r="F100" s="1123">
        <f>+'1.mell._Össz_Mérleg2019'!D100</f>
        <v>0</v>
      </c>
      <c r="G100" s="1123">
        <f>+'1.mell._Össz_Mérleg2019'!E100</f>
        <v>0</v>
      </c>
      <c r="H100" s="1561" t="str">
        <f t="shared" si="15"/>
        <v>-</v>
      </c>
      <c r="J100" s="3"/>
    </row>
    <row r="101" spans="1:14" s="119" customFormat="1" ht="12.75" thickBot="1">
      <c r="A101" s="884" t="s">
        <v>43</v>
      </c>
      <c r="B101" s="905" t="s">
        <v>306</v>
      </c>
      <c r="C101" s="1035">
        <f t="shared" ref="C101:G101" si="19">+C71+C86</f>
        <v>1002313</v>
      </c>
      <c r="D101" s="112">
        <f t="shared" si="19"/>
        <v>2307348</v>
      </c>
      <c r="E101" s="1222">
        <f t="shared" si="19"/>
        <v>2748771</v>
      </c>
      <c r="F101" s="1119">
        <f t="shared" si="19"/>
        <v>3196604</v>
      </c>
      <c r="G101" s="1119">
        <f t="shared" si="19"/>
        <v>3196604</v>
      </c>
      <c r="H101" s="1558">
        <f t="shared" si="15"/>
        <v>1</v>
      </c>
      <c r="J101" s="3"/>
      <c r="K101" s="3"/>
      <c r="L101" s="3"/>
      <c r="M101" s="3"/>
      <c r="N101" s="3"/>
    </row>
    <row r="102" spans="1:14" s="119" customFormat="1" ht="12.75" thickBot="1">
      <c r="A102" s="907" t="s">
        <v>40</v>
      </c>
      <c r="B102" s="908" t="s">
        <v>307</v>
      </c>
      <c r="C102" s="1040">
        <f t="shared" ref="C102:G102" si="20">+C70+C101</f>
        <v>4622817</v>
      </c>
      <c r="D102" s="911">
        <f t="shared" si="20"/>
        <v>5725328</v>
      </c>
      <c r="E102" s="1230">
        <f t="shared" si="20"/>
        <v>4623219</v>
      </c>
      <c r="F102" s="1125">
        <f t="shared" si="20"/>
        <v>6648242</v>
      </c>
      <c r="G102" s="1125">
        <f t="shared" si="20"/>
        <v>6455161</v>
      </c>
      <c r="H102" s="1564">
        <f t="shared" si="15"/>
        <v>0.97095758547898825</v>
      </c>
      <c r="J102" s="3"/>
      <c r="K102" s="3"/>
      <c r="L102" s="3"/>
      <c r="M102" s="3"/>
      <c r="N102" s="3"/>
    </row>
    <row r="103" spans="1:14" s="117" customFormat="1">
      <c r="A103" s="1041"/>
      <c r="B103" s="1042"/>
      <c r="H103" s="1655"/>
      <c r="J103" s="1664">
        <f>+C102-C208</f>
        <v>2195112</v>
      </c>
      <c r="K103" s="1664">
        <f>+D102-D208</f>
        <v>3100881</v>
      </c>
      <c r="L103" s="1664">
        <f>+E102-E208</f>
        <v>0</v>
      </c>
      <c r="M103" s="1664">
        <f t="shared" ref="M103:N103" si="21">+F102-F208</f>
        <v>0</v>
      </c>
      <c r="N103" s="1664">
        <f t="shared" si="21"/>
        <v>3330728</v>
      </c>
    </row>
    <row r="104" spans="1:14" s="876" customFormat="1">
      <c r="A104" s="1043"/>
      <c r="B104" s="1044"/>
      <c r="C104" s="1044"/>
      <c r="D104" s="1044"/>
      <c r="E104" s="1044"/>
      <c r="F104" s="1044"/>
      <c r="G104" s="1044"/>
      <c r="H104" s="1557"/>
      <c r="J104" s="3"/>
      <c r="K104" s="13">
        <f>+E76-K103</f>
        <v>-362109</v>
      </c>
      <c r="L104" s="36"/>
      <c r="M104" s="36"/>
      <c r="N104" s="36"/>
    </row>
    <row r="105" spans="1:14" s="874" customFormat="1" ht="15.75">
      <c r="A105" s="1794" t="s">
        <v>80</v>
      </c>
      <c r="B105" s="1794"/>
      <c r="C105" s="1794"/>
      <c r="D105" s="1794"/>
      <c r="E105" s="1794"/>
      <c r="F105" s="1794"/>
      <c r="G105" s="1794"/>
      <c r="H105" s="1794"/>
      <c r="J105" s="3"/>
      <c r="K105" s="52"/>
      <c r="L105" s="52"/>
      <c r="M105" s="52"/>
      <c r="N105" s="52"/>
    </row>
    <row r="106" spans="1:14" s="876" customFormat="1" ht="12.75" thickBot="1">
      <c r="A106" s="875" t="s">
        <v>279</v>
      </c>
      <c r="E106" s="877"/>
      <c r="F106" s="877"/>
      <c r="G106" s="877"/>
      <c r="H106" s="1653" t="s">
        <v>281</v>
      </c>
      <c r="J106" s="3"/>
      <c r="K106" s="36"/>
      <c r="L106" s="36"/>
      <c r="M106" s="36"/>
      <c r="N106" s="36"/>
    </row>
    <row r="107" spans="1:14" s="119" customFormat="1" ht="48.75" thickBot="1">
      <c r="A107" s="878" t="s">
        <v>17</v>
      </c>
      <c r="B107" s="914" t="s">
        <v>329</v>
      </c>
      <c r="C107" s="1030" t="s">
        <v>1317</v>
      </c>
      <c r="D107" s="882" t="s">
        <v>2647</v>
      </c>
      <c r="E107" s="1101" t="s">
        <v>1553</v>
      </c>
      <c r="F107" s="6" t="s">
        <v>1554</v>
      </c>
      <c r="G107" s="6" t="s">
        <v>2646</v>
      </c>
      <c r="H107" s="1549" t="s">
        <v>2645</v>
      </c>
      <c r="J107" s="3"/>
      <c r="K107" s="3"/>
      <c r="L107" s="3"/>
      <c r="M107" s="3"/>
      <c r="N107" s="3"/>
    </row>
    <row r="108" spans="1:14" s="119" customFormat="1" ht="13.5" customHeight="1" thickBot="1">
      <c r="A108" s="915" t="s">
        <v>253</v>
      </c>
      <c r="B108" s="916" t="s">
        <v>254</v>
      </c>
      <c r="C108" s="1763" t="s">
        <v>255</v>
      </c>
      <c r="D108" s="1032" t="s">
        <v>361</v>
      </c>
      <c r="E108" s="1795" t="s">
        <v>362</v>
      </c>
      <c r="F108" s="1796"/>
      <c r="G108" s="1796"/>
      <c r="H108" s="1797"/>
      <c r="J108" s="3"/>
      <c r="K108" s="3"/>
      <c r="L108" s="3"/>
      <c r="M108" s="3"/>
      <c r="N108" s="3"/>
    </row>
    <row r="109" spans="1:14" s="119" customFormat="1" ht="12.75" thickBot="1">
      <c r="A109" s="884" t="s">
        <v>4</v>
      </c>
      <c r="B109" s="905" t="s">
        <v>308</v>
      </c>
      <c r="C109" s="1035">
        <f t="shared" ref="C109:G109" si="22">+C110+C114+C116+C123+C132</f>
        <v>1508277</v>
      </c>
      <c r="D109" s="112">
        <f t="shared" si="22"/>
        <v>1807005</v>
      </c>
      <c r="E109" s="1222">
        <f t="shared" si="22"/>
        <v>4110574</v>
      </c>
      <c r="F109" s="1119">
        <f t="shared" si="22"/>
        <v>5205095</v>
      </c>
      <c r="G109" s="1119">
        <f t="shared" si="22"/>
        <v>1963655</v>
      </c>
      <c r="H109" s="1558">
        <f t="shared" ref="H109:H172" si="23">IF(ISERROR(G109/F109),"-",G109/F109)</f>
        <v>0.37725632289132088</v>
      </c>
      <c r="J109" s="3"/>
      <c r="K109" s="3"/>
      <c r="L109" s="3"/>
      <c r="M109" s="3"/>
      <c r="N109" s="3"/>
    </row>
    <row r="110" spans="1:14" s="119" customFormat="1" ht="12.75" thickBot="1">
      <c r="A110" s="884" t="s">
        <v>5</v>
      </c>
      <c r="B110" s="891" t="s">
        <v>309</v>
      </c>
      <c r="C110" s="1035">
        <f t="shared" ref="C110:G110" si="24">+C112+C113</f>
        <v>756270</v>
      </c>
      <c r="D110" s="112">
        <f t="shared" si="24"/>
        <v>839058</v>
      </c>
      <c r="E110" s="1222">
        <f t="shared" si="24"/>
        <v>655870</v>
      </c>
      <c r="F110" s="1119">
        <f t="shared" si="24"/>
        <v>930589</v>
      </c>
      <c r="G110" s="1119">
        <f t="shared" si="24"/>
        <v>915906</v>
      </c>
      <c r="H110" s="1558">
        <f t="shared" si="23"/>
        <v>0.98422182080381349</v>
      </c>
      <c r="J110" s="3"/>
      <c r="K110" s="3"/>
      <c r="L110" s="3"/>
      <c r="M110" s="3"/>
      <c r="N110" s="3"/>
    </row>
    <row r="111" spans="1:14" s="876" customFormat="1">
      <c r="A111" s="917" t="s">
        <v>349</v>
      </c>
      <c r="B111" s="918" t="s">
        <v>350</v>
      </c>
      <c r="C111" s="1024"/>
      <c r="D111" s="921">
        <v>96862</v>
      </c>
      <c r="E111" s="1232">
        <f>+'1.mell._Össz_Mérleg2019'!C111</f>
        <v>0</v>
      </c>
      <c r="F111" s="1126">
        <f>+'1.mell._Össz_Mérleg2019'!D111</f>
        <v>150406</v>
      </c>
      <c r="G111" s="1126">
        <f>+'1.mell._Össz_Mérleg2019'!E111</f>
        <v>150406</v>
      </c>
      <c r="H111" s="1559">
        <f t="shared" si="23"/>
        <v>1</v>
      </c>
      <c r="J111" s="3"/>
      <c r="K111" s="36"/>
      <c r="L111" s="36"/>
      <c r="M111" s="36"/>
      <c r="N111" s="36"/>
    </row>
    <row r="112" spans="1:14">
      <c r="A112" s="892" t="s">
        <v>54</v>
      </c>
      <c r="B112" s="113" t="s">
        <v>127</v>
      </c>
      <c r="C112" s="1036">
        <v>716803</v>
      </c>
      <c r="D112" s="116">
        <v>746559</v>
      </c>
      <c r="E112" s="1223">
        <f>+'1.mell._Össz_Mérleg2019'!C112</f>
        <v>620464</v>
      </c>
      <c r="F112" s="1120">
        <f>+'1.mell._Össz_Mérleg2019'!D112</f>
        <v>828334</v>
      </c>
      <c r="G112" s="1120">
        <f>+'1.mell._Össz_Mérleg2019'!E112</f>
        <v>817664</v>
      </c>
      <c r="H112" s="1560">
        <f t="shared" si="23"/>
        <v>0.98711872264086709</v>
      </c>
      <c r="J112" s="3"/>
    </row>
    <row r="113" spans="1:14" ht="12.75" thickBot="1">
      <c r="A113" s="898" t="s">
        <v>55</v>
      </c>
      <c r="B113" s="899" t="s">
        <v>128</v>
      </c>
      <c r="C113" s="1023">
        <v>39467</v>
      </c>
      <c r="D113" s="871">
        <v>92499</v>
      </c>
      <c r="E113" s="1226">
        <f>+'1.mell._Össz_Mérleg2019'!C113</f>
        <v>35406</v>
      </c>
      <c r="F113" s="1123">
        <f>+'1.mell._Össz_Mérleg2019'!D113</f>
        <v>102255</v>
      </c>
      <c r="G113" s="1123">
        <f>+'1.mell._Össz_Mérleg2019'!E113</f>
        <v>98242</v>
      </c>
      <c r="H113" s="1561">
        <f t="shared" si="23"/>
        <v>0.96075497530683096</v>
      </c>
      <c r="J113" s="3"/>
    </row>
    <row r="114" spans="1:14" s="119" customFormat="1" ht="12.75" thickBot="1">
      <c r="A114" s="884" t="s">
        <v>6</v>
      </c>
      <c r="B114" s="891" t="s">
        <v>256</v>
      </c>
      <c r="C114" s="1035">
        <v>157139</v>
      </c>
      <c r="D114" s="112">
        <v>153994</v>
      </c>
      <c r="E114" s="1222">
        <f>+'1.mell._Össz_Mérleg2019'!C114</f>
        <v>131505</v>
      </c>
      <c r="F114" s="1119">
        <f>+'1.mell._Össz_Mérleg2019'!D114</f>
        <v>178765</v>
      </c>
      <c r="G114" s="1119">
        <f>+'1.mell._Össz_Mérleg2019'!E114</f>
        <v>169543</v>
      </c>
      <c r="H114" s="1558">
        <f t="shared" si="23"/>
        <v>0.9484127206108578</v>
      </c>
      <c r="J114" s="3"/>
      <c r="K114" s="3"/>
      <c r="L114" s="3"/>
      <c r="M114" s="3"/>
      <c r="N114" s="3"/>
    </row>
    <row r="115" spans="1:14" s="876" customFormat="1" ht="12.75" thickBot="1">
      <c r="A115" s="917" t="s">
        <v>346</v>
      </c>
      <c r="B115" s="918" t="s">
        <v>347</v>
      </c>
      <c r="C115" s="1024"/>
      <c r="D115" s="921">
        <v>16944</v>
      </c>
      <c r="E115" s="1232">
        <f>+'1.mell._Össz_Mérleg2019'!C115</f>
        <v>0</v>
      </c>
      <c r="F115" s="1126">
        <f>+'1.mell._Össz_Mérleg2019'!D115</f>
        <v>26165</v>
      </c>
      <c r="G115" s="1126">
        <f>+'1.mell._Össz_Mérleg2019'!E115</f>
        <v>26165</v>
      </c>
      <c r="H115" s="1559">
        <f t="shared" si="23"/>
        <v>1</v>
      </c>
      <c r="J115" s="3"/>
      <c r="K115" s="36"/>
      <c r="L115" s="36"/>
      <c r="M115" s="36"/>
      <c r="N115" s="36"/>
    </row>
    <row r="116" spans="1:14" s="119" customFormat="1" ht="12.75" thickBot="1">
      <c r="A116" s="884" t="s">
        <v>3</v>
      </c>
      <c r="B116" s="891" t="s">
        <v>343</v>
      </c>
      <c r="C116" s="1035">
        <f t="shared" ref="C116:G116" si="25">+C118+C119+C120+C121+C122</f>
        <v>464066</v>
      </c>
      <c r="D116" s="112">
        <f t="shared" si="25"/>
        <v>690773</v>
      </c>
      <c r="E116" s="1222">
        <f t="shared" si="25"/>
        <v>391454</v>
      </c>
      <c r="F116" s="1119">
        <f t="shared" si="25"/>
        <v>834328</v>
      </c>
      <c r="G116" s="1119">
        <f t="shared" si="25"/>
        <v>745686</v>
      </c>
      <c r="H116" s="1558">
        <f t="shared" si="23"/>
        <v>0.89375641234622349</v>
      </c>
      <c r="J116" s="3"/>
      <c r="K116" s="3"/>
      <c r="L116" s="3"/>
      <c r="M116" s="3"/>
      <c r="N116" s="3"/>
    </row>
    <row r="117" spans="1:14" s="876" customFormat="1">
      <c r="A117" s="917" t="s">
        <v>341</v>
      </c>
      <c r="B117" s="918" t="s">
        <v>348</v>
      </c>
      <c r="C117" s="1024">
        <v>26759</v>
      </c>
      <c r="D117" s="921">
        <v>271494</v>
      </c>
      <c r="E117" s="1232">
        <f>+'1.mell._Össz_Mérleg2019'!C117</f>
        <v>0</v>
      </c>
      <c r="F117" s="1126">
        <f>+'1.mell._Össz_Mérleg2019'!D117</f>
        <v>272137</v>
      </c>
      <c r="G117" s="1126">
        <f>+'1.mell._Össz_Mérleg2019'!E117</f>
        <v>272137</v>
      </c>
      <c r="H117" s="1559">
        <f t="shared" si="23"/>
        <v>1</v>
      </c>
      <c r="J117" s="3"/>
      <c r="K117" s="36"/>
      <c r="L117" s="36"/>
      <c r="M117" s="36"/>
      <c r="N117" s="36"/>
    </row>
    <row r="118" spans="1:14">
      <c r="A118" s="892" t="s">
        <v>61</v>
      </c>
      <c r="B118" s="113" t="s">
        <v>129</v>
      </c>
      <c r="C118" s="1036">
        <v>73607</v>
      </c>
      <c r="D118" s="116">
        <v>70377</v>
      </c>
      <c r="E118" s="1223">
        <f>+'1.mell._Össz_Mérleg2019'!C118</f>
        <v>35803</v>
      </c>
      <c r="F118" s="1120">
        <f>+'1.mell._Össz_Mérleg2019'!D118</f>
        <v>85222</v>
      </c>
      <c r="G118" s="1120">
        <f>+'1.mell._Össz_Mérleg2019'!E118</f>
        <v>76493</v>
      </c>
      <c r="H118" s="1560">
        <f t="shared" si="23"/>
        <v>0.89757339654079937</v>
      </c>
      <c r="J118" s="3"/>
    </row>
    <row r="119" spans="1:14">
      <c r="A119" s="896" t="s">
        <v>62</v>
      </c>
      <c r="B119" s="897" t="s">
        <v>130</v>
      </c>
      <c r="C119" s="1038">
        <v>28983</v>
      </c>
      <c r="D119" s="868">
        <v>24473</v>
      </c>
      <c r="E119" s="1225">
        <f>+'1.mell._Össz_Mérleg2019'!C119</f>
        <v>27174</v>
      </c>
      <c r="F119" s="1122">
        <f>+'1.mell._Össz_Mérleg2019'!D119</f>
        <v>27326</v>
      </c>
      <c r="G119" s="1122">
        <f>+'1.mell._Össz_Mérleg2019'!E119</f>
        <v>25144</v>
      </c>
      <c r="H119" s="1562">
        <f t="shared" si="23"/>
        <v>0.92014930835102104</v>
      </c>
      <c r="J119" s="3"/>
    </row>
    <row r="120" spans="1:14">
      <c r="A120" s="896" t="s">
        <v>63</v>
      </c>
      <c r="B120" s="897" t="s">
        <v>131</v>
      </c>
      <c r="C120" s="1038">
        <v>253186</v>
      </c>
      <c r="D120" s="868">
        <v>437818</v>
      </c>
      <c r="E120" s="1225">
        <f>+'1.mell._Össz_Mérleg2019'!C120</f>
        <v>229364</v>
      </c>
      <c r="F120" s="1122">
        <f>+'1.mell._Össz_Mérleg2019'!D120</f>
        <v>479889</v>
      </c>
      <c r="G120" s="1122">
        <f>+'1.mell._Össz_Mérleg2019'!E120</f>
        <v>430183</v>
      </c>
      <c r="H120" s="1562">
        <f t="shared" si="23"/>
        <v>0.89642188089328989</v>
      </c>
      <c r="J120" s="3"/>
    </row>
    <row r="121" spans="1:14">
      <c r="A121" s="896" t="s">
        <v>64</v>
      </c>
      <c r="B121" s="897" t="s">
        <v>132</v>
      </c>
      <c r="C121" s="1038">
        <v>1095</v>
      </c>
      <c r="D121" s="868">
        <v>3099</v>
      </c>
      <c r="E121" s="1225">
        <f>+'1.mell._Össz_Mérleg2019'!C121</f>
        <v>1940</v>
      </c>
      <c r="F121" s="1122">
        <f>+'1.mell._Össz_Mérleg2019'!D121</f>
        <v>7173</v>
      </c>
      <c r="G121" s="1122">
        <f>+'1.mell._Össz_Mérleg2019'!E121</f>
        <v>6254</v>
      </c>
      <c r="H121" s="1562">
        <f t="shared" si="23"/>
        <v>0.8718806635996097</v>
      </c>
      <c r="J121" s="3"/>
    </row>
    <row r="122" spans="1:14" ht="12.75" thickBot="1">
      <c r="A122" s="898" t="s">
        <v>65</v>
      </c>
      <c r="B122" s="899" t="s">
        <v>133</v>
      </c>
      <c r="C122" s="1023">
        <v>107195</v>
      </c>
      <c r="D122" s="871">
        <v>155006</v>
      </c>
      <c r="E122" s="1226">
        <f>+'1.mell._Össz_Mérleg2019'!C122</f>
        <v>97173</v>
      </c>
      <c r="F122" s="1123">
        <f>+'1.mell._Össz_Mérleg2019'!D122</f>
        <v>234718</v>
      </c>
      <c r="G122" s="1123">
        <f>+'1.mell._Össz_Mérleg2019'!E122</f>
        <v>207612</v>
      </c>
      <c r="H122" s="1561">
        <f t="shared" si="23"/>
        <v>0.88451673923601937</v>
      </c>
      <c r="J122" s="3"/>
    </row>
    <row r="123" spans="1:14" s="119" customFormat="1" ht="12.75" thickBot="1">
      <c r="A123" s="884" t="s">
        <v>16</v>
      </c>
      <c r="B123" s="891" t="s">
        <v>310</v>
      </c>
      <c r="C123" s="1035">
        <f t="shared" ref="C123:G123" si="26">+C124+C125+C126+C127+C128+C129+C130+C131</f>
        <v>48986</v>
      </c>
      <c r="D123" s="112">
        <f t="shared" si="26"/>
        <v>54350</v>
      </c>
      <c r="E123" s="1222">
        <f t="shared" si="26"/>
        <v>57543</v>
      </c>
      <c r="F123" s="1119">
        <f t="shared" si="26"/>
        <v>43459</v>
      </c>
      <c r="G123" s="1119">
        <f t="shared" si="26"/>
        <v>43161</v>
      </c>
      <c r="H123" s="1558">
        <f t="shared" si="23"/>
        <v>0.99314296233231325</v>
      </c>
      <c r="J123" s="3"/>
      <c r="K123" s="3"/>
      <c r="L123" s="3"/>
      <c r="M123" s="3"/>
      <c r="N123" s="3"/>
    </row>
    <row r="124" spans="1:14">
      <c r="A124" s="892" t="s">
        <v>227</v>
      </c>
      <c r="B124" s="113" t="s">
        <v>134</v>
      </c>
      <c r="C124" s="1036"/>
      <c r="D124" s="116"/>
      <c r="E124" s="1223">
        <f>+'1.mell._Össz_Mérleg2019'!C124</f>
        <v>0</v>
      </c>
      <c r="F124" s="1120">
        <f>+'1.mell._Össz_Mérleg2019'!D124</f>
        <v>0</v>
      </c>
      <c r="G124" s="1120">
        <f>+'1.mell._Össz_Mérleg2019'!E124</f>
        <v>0</v>
      </c>
      <c r="H124" s="1560" t="str">
        <f t="shared" si="23"/>
        <v>-</v>
      </c>
      <c r="J124" s="3"/>
    </row>
    <row r="125" spans="1:14">
      <c r="A125" s="896" t="s">
        <v>228</v>
      </c>
      <c r="B125" s="897" t="s">
        <v>135</v>
      </c>
      <c r="C125" s="1038">
        <v>12895</v>
      </c>
      <c r="D125" s="868">
        <v>12775</v>
      </c>
      <c r="E125" s="1225">
        <f>+'1.mell._Össz_Mérleg2019'!C125</f>
        <v>0</v>
      </c>
      <c r="F125" s="1122">
        <f>+'1.mell._Össz_Mérleg2019'!D125</f>
        <v>0</v>
      </c>
      <c r="G125" s="1122">
        <f>+'1.mell._Össz_Mérleg2019'!E125</f>
        <v>0</v>
      </c>
      <c r="H125" s="1562" t="str">
        <f t="shared" si="23"/>
        <v>-</v>
      </c>
      <c r="J125" s="3"/>
    </row>
    <row r="126" spans="1:14">
      <c r="A126" s="896" t="s">
        <v>229</v>
      </c>
      <c r="B126" s="897" t="s">
        <v>136</v>
      </c>
      <c r="C126" s="1038"/>
      <c r="D126" s="868"/>
      <c r="E126" s="1225">
        <f>+'1.mell._Össz_Mérleg2019'!C126</f>
        <v>0</v>
      </c>
      <c r="F126" s="1122">
        <f>+'1.mell._Össz_Mérleg2019'!D126</f>
        <v>0</v>
      </c>
      <c r="G126" s="1122">
        <f>+'1.mell._Össz_Mérleg2019'!E126</f>
        <v>0</v>
      </c>
      <c r="H126" s="1562" t="str">
        <f t="shared" si="23"/>
        <v>-</v>
      </c>
      <c r="J126" s="3"/>
    </row>
    <row r="127" spans="1:14">
      <c r="A127" s="896" t="s">
        <v>257</v>
      </c>
      <c r="B127" s="897" t="s">
        <v>137</v>
      </c>
      <c r="C127" s="1038"/>
      <c r="D127" s="868"/>
      <c r="E127" s="1225">
        <f>+'1.mell._Össz_Mérleg2019'!C127</f>
        <v>2400</v>
      </c>
      <c r="F127" s="1122">
        <f>+'1.mell._Össz_Mérleg2019'!D127</f>
        <v>0</v>
      </c>
      <c r="G127" s="1122">
        <f>+'1.mell._Össz_Mérleg2019'!E127</f>
        <v>0</v>
      </c>
      <c r="H127" s="1562" t="str">
        <f t="shared" si="23"/>
        <v>-</v>
      </c>
      <c r="J127" s="3"/>
    </row>
    <row r="128" spans="1:14">
      <c r="A128" s="896" t="s">
        <v>258</v>
      </c>
      <c r="B128" s="897" t="s">
        <v>138</v>
      </c>
      <c r="C128" s="1038"/>
      <c r="D128" s="868"/>
      <c r="E128" s="1225">
        <f>+'1.mell._Össz_Mérleg2019'!C128</f>
        <v>0</v>
      </c>
      <c r="F128" s="1122">
        <f>+'1.mell._Össz_Mérleg2019'!D128</f>
        <v>0</v>
      </c>
      <c r="G128" s="1122">
        <f>+'1.mell._Össz_Mérleg2019'!E128</f>
        <v>0</v>
      </c>
      <c r="H128" s="1562" t="str">
        <f t="shared" si="23"/>
        <v>-</v>
      </c>
      <c r="J128" s="3"/>
    </row>
    <row r="129" spans="1:14">
      <c r="A129" s="896" t="s">
        <v>259</v>
      </c>
      <c r="B129" s="897" t="s">
        <v>139</v>
      </c>
      <c r="C129" s="1038"/>
      <c r="D129" s="868"/>
      <c r="E129" s="1225">
        <f>+'1.mell._Össz_Mérleg2019'!C129</f>
        <v>19800</v>
      </c>
      <c r="F129" s="1122">
        <f>+'1.mell._Össz_Mérleg2019'!D129</f>
        <v>0</v>
      </c>
      <c r="G129" s="1122">
        <f>+'1.mell._Össz_Mérleg2019'!E129</f>
        <v>0</v>
      </c>
      <c r="H129" s="1562" t="str">
        <f t="shared" si="23"/>
        <v>-</v>
      </c>
      <c r="J129" s="3"/>
    </row>
    <row r="130" spans="1:14">
      <c r="A130" s="896" t="s">
        <v>260</v>
      </c>
      <c r="B130" s="897" t="s">
        <v>140</v>
      </c>
      <c r="C130" s="1038"/>
      <c r="D130" s="868">
        <v>2300</v>
      </c>
      <c r="E130" s="1225">
        <f>+'1.mell._Össz_Mérleg2019'!C130</f>
        <v>13143</v>
      </c>
      <c r="F130" s="1122">
        <f>+'1.mell._Össz_Mérleg2019'!D130</f>
        <v>2461</v>
      </c>
      <c r="G130" s="1122">
        <f>+'1.mell._Össz_Mérleg2019'!E130</f>
        <v>2461</v>
      </c>
      <c r="H130" s="1562">
        <f t="shared" si="23"/>
        <v>1</v>
      </c>
      <c r="J130" s="3"/>
    </row>
    <row r="131" spans="1:14" ht="12.75" thickBot="1">
      <c r="A131" s="898" t="s">
        <v>261</v>
      </c>
      <c r="B131" s="899" t="s">
        <v>141</v>
      </c>
      <c r="C131" s="1023">
        <v>36091</v>
      </c>
      <c r="D131" s="871">
        <v>39275</v>
      </c>
      <c r="E131" s="1226">
        <f>+'1.mell._Össz_Mérleg2019'!C131</f>
        <v>22200</v>
      </c>
      <c r="F131" s="1123">
        <f>+'1.mell._Össz_Mérleg2019'!D131</f>
        <v>40998</v>
      </c>
      <c r="G131" s="1123">
        <f>+'1.mell._Össz_Mérleg2019'!E131</f>
        <v>40700</v>
      </c>
      <c r="H131" s="1561">
        <f t="shared" si="23"/>
        <v>0.99273135274891455</v>
      </c>
      <c r="J131" s="3"/>
    </row>
    <row r="132" spans="1:14" s="119" customFormat="1" ht="12.75" thickBot="1">
      <c r="A132" s="884" t="s">
        <v>15</v>
      </c>
      <c r="B132" s="891" t="s">
        <v>927</v>
      </c>
      <c r="C132" s="1035">
        <f t="shared" ref="C132:G132" si="27">+C133+C134+C135+C136+C137+C138+C140+C141+C142+C143+C144+C145+C146</f>
        <v>81816</v>
      </c>
      <c r="D132" s="112">
        <f t="shared" si="27"/>
        <v>68830</v>
      </c>
      <c r="E132" s="1222">
        <f t="shared" si="27"/>
        <v>2874202</v>
      </c>
      <c r="F132" s="1119">
        <f t="shared" si="27"/>
        <v>3217954</v>
      </c>
      <c r="G132" s="1119">
        <f t="shared" si="27"/>
        <v>89359</v>
      </c>
      <c r="H132" s="1558">
        <f t="shared" si="23"/>
        <v>2.7768886690114278E-2</v>
      </c>
      <c r="J132" s="3"/>
      <c r="K132" s="3"/>
      <c r="L132" s="3"/>
      <c r="M132" s="3"/>
      <c r="N132" s="3"/>
    </row>
    <row r="133" spans="1:14">
      <c r="A133" s="892" t="s">
        <v>87</v>
      </c>
      <c r="B133" s="113" t="s">
        <v>142</v>
      </c>
      <c r="C133" s="1036"/>
      <c r="D133" s="116"/>
      <c r="E133" s="1223">
        <f>+'1.mell._Össz_Mérleg2019'!C133</f>
        <v>0</v>
      </c>
      <c r="F133" s="1120">
        <f>+'1.mell._Össz_Mérleg2019'!D133</f>
        <v>0</v>
      </c>
      <c r="G133" s="1120">
        <f>+'1.mell._Össz_Mérleg2019'!E133</f>
        <v>0</v>
      </c>
      <c r="H133" s="1560" t="str">
        <f t="shared" si="23"/>
        <v>-</v>
      </c>
      <c r="J133" s="3"/>
    </row>
    <row r="134" spans="1:14">
      <c r="A134" s="896" t="s">
        <v>88</v>
      </c>
      <c r="B134" s="897" t="s">
        <v>143</v>
      </c>
      <c r="C134" s="1038">
        <v>4504</v>
      </c>
      <c r="D134" s="868">
        <v>4931</v>
      </c>
      <c r="E134" s="1225">
        <f>+'1.mell._Össz_Mérleg2019'!C134</f>
        <v>16166</v>
      </c>
      <c r="F134" s="1122">
        <f>+'1.mell._Össz_Mérleg2019'!D134</f>
        <v>15517</v>
      </c>
      <c r="G134" s="1122">
        <f>+'1.mell._Össz_Mérleg2019'!E134</f>
        <v>10257</v>
      </c>
      <c r="H134" s="1562">
        <f t="shared" si="23"/>
        <v>0.66101694915254239</v>
      </c>
      <c r="J134" s="3"/>
    </row>
    <row r="135" spans="1:14">
      <c r="A135" s="896" t="s">
        <v>182</v>
      </c>
      <c r="B135" s="897" t="s">
        <v>144</v>
      </c>
      <c r="C135" s="1038"/>
      <c r="D135" s="868"/>
      <c r="E135" s="1225">
        <f>+'1.mell._Össz_Mérleg2019'!C135</f>
        <v>0</v>
      </c>
      <c r="F135" s="1122">
        <f>+'1.mell._Össz_Mérleg2019'!D135</f>
        <v>0</v>
      </c>
      <c r="G135" s="1122">
        <f>+'1.mell._Össz_Mérleg2019'!E135</f>
        <v>0</v>
      </c>
      <c r="H135" s="1562" t="str">
        <f t="shared" si="23"/>
        <v>-</v>
      </c>
      <c r="J135" s="3"/>
    </row>
    <row r="136" spans="1:14">
      <c r="A136" s="896" t="s">
        <v>183</v>
      </c>
      <c r="B136" s="897" t="s">
        <v>145</v>
      </c>
      <c r="C136" s="1038"/>
      <c r="D136" s="868"/>
      <c r="E136" s="1225">
        <f>+'1.mell._Össz_Mérleg2019'!C136</f>
        <v>0</v>
      </c>
      <c r="F136" s="1122">
        <f>+'1.mell._Össz_Mérleg2019'!D136</f>
        <v>0</v>
      </c>
      <c r="G136" s="1122">
        <f>+'1.mell._Össz_Mérleg2019'!E136</f>
        <v>0</v>
      </c>
      <c r="H136" s="1562" t="str">
        <f t="shared" si="23"/>
        <v>-</v>
      </c>
      <c r="J136" s="3"/>
    </row>
    <row r="137" spans="1:14">
      <c r="A137" s="896" t="s">
        <v>184</v>
      </c>
      <c r="B137" s="897" t="s">
        <v>146</v>
      </c>
      <c r="C137" s="1038"/>
      <c r="D137" s="868"/>
      <c r="E137" s="1225">
        <f>+'1.mell._Össz_Mérleg2019'!C137</f>
        <v>0</v>
      </c>
      <c r="F137" s="1122">
        <f>+'1.mell._Össz_Mérleg2019'!D137</f>
        <v>0</v>
      </c>
      <c r="G137" s="1122">
        <f>+'1.mell._Össz_Mérleg2019'!E137</f>
        <v>0</v>
      </c>
      <c r="H137" s="1562" t="str">
        <f t="shared" si="23"/>
        <v>-</v>
      </c>
      <c r="J137" s="3"/>
    </row>
    <row r="138" spans="1:14">
      <c r="A138" s="896" t="s">
        <v>262</v>
      </c>
      <c r="B138" s="897" t="s">
        <v>147</v>
      </c>
      <c r="C138" s="1038">
        <v>20525</v>
      </c>
      <c r="D138" s="868">
        <v>10526</v>
      </c>
      <c r="E138" s="1225">
        <f>+'1.mell._Össz_Mérleg2019'!C138</f>
        <v>9203</v>
      </c>
      <c r="F138" s="1122">
        <f>+'1.mell._Össz_Mérleg2019'!D138</f>
        <v>17991</v>
      </c>
      <c r="G138" s="1122">
        <f>+'1.mell._Össz_Mérleg2019'!E138</f>
        <v>17991</v>
      </c>
      <c r="H138" s="1562">
        <f t="shared" si="23"/>
        <v>1</v>
      </c>
      <c r="J138" s="3"/>
    </row>
    <row r="139" spans="1:14" s="117" customFormat="1">
      <c r="A139" s="900" t="s">
        <v>336</v>
      </c>
      <c r="B139" s="901" t="s">
        <v>933</v>
      </c>
      <c r="C139" s="1022"/>
      <c r="D139" s="904">
        <v>2720</v>
      </c>
      <c r="E139" s="1227">
        <f>+'1.mell._Össz_Mérleg2019'!C139</f>
        <v>0</v>
      </c>
      <c r="F139" s="1124">
        <f>+'1.mell._Össz_Mérleg2019'!D139</f>
        <v>8300</v>
      </c>
      <c r="G139" s="1124">
        <f>+'1.mell._Össz_Mérleg2019'!E139</f>
        <v>8300</v>
      </c>
      <c r="H139" s="1561">
        <f t="shared" si="23"/>
        <v>1</v>
      </c>
      <c r="J139" s="3"/>
      <c r="K139" s="13"/>
      <c r="L139" s="13"/>
      <c r="M139" s="13"/>
      <c r="N139" s="13"/>
    </row>
    <row r="140" spans="1:14">
      <c r="A140" s="896" t="s">
        <v>263</v>
      </c>
      <c r="B140" s="897" t="s">
        <v>148</v>
      </c>
      <c r="C140" s="1038"/>
      <c r="D140" s="868"/>
      <c r="E140" s="1225">
        <f>+'1.mell._Össz_Mérleg2019'!C140</f>
        <v>0</v>
      </c>
      <c r="F140" s="1122">
        <f>+'1.mell._Össz_Mérleg2019'!D140</f>
        <v>0</v>
      </c>
      <c r="G140" s="1122">
        <f>+'1.mell._Össz_Mérleg2019'!E140</f>
        <v>0</v>
      </c>
      <c r="H140" s="1562" t="str">
        <f t="shared" si="23"/>
        <v>-</v>
      </c>
      <c r="J140" s="3"/>
    </row>
    <row r="141" spans="1:14">
      <c r="A141" s="896" t="s">
        <v>264</v>
      </c>
      <c r="B141" s="897" t="s">
        <v>149</v>
      </c>
      <c r="C141" s="1038"/>
      <c r="D141" s="868">
        <v>9401</v>
      </c>
      <c r="E141" s="1225">
        <f>+'1.mell._Össz_Mérleg2019'!C141</f>
        <v>4000</v>
      </c>
      <c r="F141" s="1122">
        <f>+'1.mell._Össz_Mérleg2019'!D141</f>
        <v>8814</v>
      </c>
      <c r="G141" s="1122">
        <f>+'1.mell._Össz_Mérleg2019'!E141</f>
        <v>8814</v>
      </c>
      <c r="H141" s="1562">
        <f t="shared" si="23"/>
        <v>1</v>
      </c>
      <c r="J141" s="3"/>
    </row>
    <row r="142" spans="1:14">
      <c r="A142" s="896" t="s">
        <v>265</v>
      </c>
      <c r="B142" s="897" t="s">
        <v>150</v>
      </c>
      <c r="C142" s="1038"/>
      <c r="D142" s="868"/>
      <c r="E142" s="1225">
        <f>+'1.mell._Össz_Mérleg2019'!C142</f>
        <v>0</v>
      </c>
      <c r="F142" s="1122">
        <f>+'1.mell._Össz_Mérleg2019'!D142</f>
        <v>0</v>
      </c>
      <c r="G142" s="1122">
        <f>+'1.mell._Össz_Mérleg2019'!E142</f>
        <v>0</v>
      </c>
      <c r="H142" s="1562" t="str">
        <f t="shared" si="23"/>
        <v>-</v>
      </c>
      <c r="J142" s="3"/>
    </row>
    <row r="143" spans="1:14">
      <c r="A143" s="896" t="s">
        <v>266</v>
      </c>
      <c r="B143" s="897" t="s">
        <v>151</v>
      </c>
      <c r="C143" s="1038"/>
      <c r="D143" s="868"/>
      <c r="E143" s="1225">
        <f>+'1.mell._Össz_Mérleg2019'!C143</f>
        <v>0</v>
      </c>
      <c r="F143" s="1122">
        <f>+'1.mell._Össz_Mérleg2019'!D143</f>
        <v>0</v>
      </c>
      <c r="G143" s="1122">
        <f>+'1.mell._Össz_Mérleg2019'!E143</f>
        <v>0</v>
      </c>
      <c r="H143" s="1562" t="str">
        <f t="shared" si="23"/>
        <v>-</v>
      </c>
      <c r="J143" s="3"/>
    </row>
    <row r="144" spans="1:14">
      <c r="A144" s="896" t="s">
        <v>267</v>
      </c>
      <c r="B144" s="897" t="s">
        <v>928</v>
      </c>
      <c r="C144" s="1038"/>
      <c r="D144" s="868"/>
      <c r="E144" s="1225">
        <f>+'1.mell._Össz_Mérleg2019'!C144</f>
        <v>0</v>
      </c>
      <c r="F144" s="1122">
        <f>+'1.mell._Össz_Mérleg2019'!D144</f>
        <v>0</v>
      </c>
      <c r="G144" s="1122">
        <f>+'1.mell._Össz_Mérleg2019'!E144</f>
        <v>0</v>
      </c>
      <c r="H144" s="1562" t="str">
        <f t="shared" si="23"/>
        <v>-</v>
      </c>
      <c r="J144" s="3"/>
    </row>
    <row r="145" spans="1:14">
      <c r="A145" s="896" t="s">
        <v>268</v>
      </c>
      <c r="B145" s="897" t="s">
        <v>929</v>
      </c>
      <c r="C145" s="1038">
        <v>56787</v>
      </c>
      <c r="D145" s="868">
        <v>43972</v>
      </c>
      <c r="E145" s="1225">
        <f>+'1.mell._Össz_Mérleg2019'!C145</f>
        <v>50700</v>
      </c>
      <c r="F145" s="1122">
        <f>+'1.mell._Össz_Mérleg2019'!D145</f>
        <v>61842</v>
      </c>
      <c r="G145" s="1122">
        <f>+'1.mell._Össz_Mérleg2019'!E145</f>
        <v>52297</v>
      </c>
      <c r="H145" s="1562">
        <f t="shared" si="23"/>
        <v>0.84565505643413863</v>
      </c>
      <c r="J145" s="3"/>
    </row>
    <row r="146" spans="1:14">
      <c r="A146" s="898" t="s">
        <v>924</v>
      </c>
      <c r="B146" s="899" t="s">
        <v>930</v>
      </c>
      <c r="C146" s="1023">
        <f t="shared" ref="C146:G146" si="28">+C147+C148</f>
        <v>0</v>
      </c>
      <c r="D146" s="871">
        <f t="shared" si="28"/>
        <v>0</v>
      </c>
      <c r="E146" s="1226">
        <f t="shared" si="28"/>
        <v>2794133</v>
      </c>
      <c r="F146" s="1123">
        <f t="shared" si="28"/>
        <v>3113790</v>
      </c>
      <c r="G146" s="1123">
        <f t="shared" si="28"/>
        <v>0</v>
      </c>
      <c r="H146" s="1561">
        <f t="shared" si="23"/>
        <v>0</v>
      </c>
      <c r="J146" s="3"/>
    </row>
    <row r="147" spans="1:14" s="117" customFormat="1">
      <c r="A147" s="900" t="s">
        <v>925</v>
      </c>
      <c r="B147" s="922" t="s">
        <v>931</v>
      </c>
      <c r="C147" s="1022"/>
      <c r="D147" s="904"/>
      <c r="E147" s="1227">
        <f>+'1.mell._Össz_Mérleg2019'!C147</f>
        <v>10000</v>
      </c>
      <c r="F147" s="1124">
        <f>+'1.mell._Össz_Mérleg2019'!D147</f>
        <v>3113790</v>
      </c>
      <c r="G147" s="1124">
        <f>+'1.mell._Össz_Mérleg2019'!E147</f>
        <v>0</v>
      </c>
      <c r="H147" s="1561">
        <f t="shared" si="23"/>
        <v>0</v>
      </c>
      <c r="J147" s="3"/>
      <c r="K147" s="13"/>
      <c r="L147" s="13"/>
      <c r="M147" s="13"/>
      <c r="N147" s="13"/>
    </row>
    <row r="148" spans="1:14" s="117" customFormat="1" ht="12.75" thickBot="1">
      <c r="A148" s="900" t="s">
        <v>926</v>
      </c>
      <c r="B148" s="922" t="s">
        <v>932</v>
      </c>
      <c r="C148" s="1022"/>
      <c r="D148" s="904"/>
      <c r="E148" s="1227">
        <f>+'1.mell._Össz_Mérleg2019'!C148</f>
        <v>2784133</v>
      </c>
      <c r="F148" s="1124">
        <f>+'1.mell._Össz_Mérleg2019'!D148</f>
        <v>0</v>
      </c>
      <c r="G148" s="1124">
        <f>+'1.mell._Össz_Mérleg2019'!E148</f>
        <v>0</v>
      </c>
      <c r="H148" s="1561" t="str">
        <f t="shared" si="23"/>
        <v>-</v>
      </c>
      <c r="J148" s="3"/>
      <c r="K148" s="13"/>
      <c r="L148" s="13"/>
      <c r="M148" s="13"/>
      <c r="N148" s="13"/>
    </row>
    <row r="149" spans="1:14" s="119" customFormat="1" ht="12.75" thickBot="1">
      <c r="A149" s="884" t="s">
        <v>14</v>
      </c>
      <c r="B149" s="905" t="s">
        <v>311</v>
      </c>
      <c r="C149" s="1035">
        <f t="shared" ref="C149:G149" si="29">+C150+C159+C165</f>
        <v>270952</v>
      </c>
      <c r="D149" s="112">
        <f t="shared" si="29"/>
        <v>706531</v>
      </c>
      <c r="E149" s="1222">
        <f t="shared" si="29"/>
        <v>485974</v>
      </c>
      <c r="F149" s="1119">
        <f t="shared" si="29"/>
        <v>1351199</v>
      </c>
      <c r="G149" s="1119">
        <f t="shared" si="29"/>
        <v>1068830</v>
      </c>
      <c r="H149" s="1558">
        <f t="shared" si="23"/>
        <v>0.79102337997585848</v>
      </c>
      <c r="J149" s="3"/>
      <c r="K149" s="3"/>
      <c r="L149" s="3"/>
      <c r="M149" s="3"/>
      <c r="N149" s="3"/>
    </row>
    <row r="150" spans="1:14" s="119" customFormat="1" ht="12.75" thickBot="1">
      <c r="A150" s="884" t="s">
        <v>13</v>
      </c>
      <c r="B150" s="891" t="s">
        <v>312</v>
      </c>
      <c r="C150" s="1035">
        <f t="shared" ref="C150:G150" si="30">+C152+C153+C154+C155+C156+C157+C158</f>
        <v>208326</v>
      </c>
      <c r="D150" s="112">
        <f t="shared" si="30"/>
        <v>476531</v>
      </c>
      <c r="E150" s="1222">
        <f t="shared" si="30"/>
        <v>466298</v>
      </c>
      <c r="F150" s="1119">
        <f t="shared" si="30"/>
        <v>931483</v>
      </c>
      <c r="G150" s="1119">
        <f t="shared" si="30"/>
        <v>816299</v>
      </c>
      <c r="H150" s="1558">
        <f t="shared" si="23"/>
        <v>0.87634342226320827</v>
      </c>
      <c r="J150" s="3"/>
      <c r="K150" s="3"/>
      <c r="L150" s="3"/>
      <c r="M150" s="3"/>
      <c r="N150" s="3"/>
    </row>
    <row r="151" spans="1:14" s="876" customFormat="1">
      <c r="A151" s="917" t="s">
        <v>934</v>
      </c>
      <c r="B151" s="918" t="s">
        <v>342</v>
      </c>
      <c r="C151" s="1024">
        <v>8329</v>
      </c>
      <c r="D151" s="921">
        <v>377145</v>
      </c>
      <c r="E151" s="1232">
        <f>+'1.mell._Össz_Mérleg2019'!C151</f>
        <v>0</v>
      </c>
      <c r="F151" s="1126">
        <f>+'1.mell._Össz_Mérleg2019'!D151</f>
        <v>687310</v>
      </c>
      <c r="G151" s="1126">
        <f>+'1.mell._Össz_Mérleg2019'!E151</f>
        <v>687310</v>
      </c>
      <c r="H151" s="1559">
        <f t="shared" si="23"/>
        <v>1</v>
      </c>
      <c r="J151" s="3"/>
      <c r="K151" s="36"/>
      <c r="L151" s="36"/>
      <c r="M151" s="36"/>
      <c r="N151" s="36"/>
    </row>
    <row r="152" spans="1:14">
      <c r="A152" s="892" t="s">
        <v>66</v>
      </c>
      <c r="B152" s="113" t="s">
        <v>152</v>
      </c>
      <c r="C152" s="1036">
        <v>142</v>
      </c>
      <c r="D152" s="116">
        <v>1102</v>
      </c>
      <c r="E152" s="1223">
        <f>+'1.mell._Össz_Mérleg2019'!C152</f>
        <v>7874</v>
      </c>
      <c r="F152" s="1120">
        <f>+'1.mell._Össz_Mérleg2019'!D152</f>
        <v>265</v>
      </c>
      <c r="G152" s="1120">
        <f>+'1.mell._Össz_Mérleg2019'!E152</f>
        <v>265</v>
      </c>
      <c r="H152" s="1560">
        <f t="shared" si="23"/>
        <v>1</v>
      </c>
      <c r="J152" s="3"/>
    </row>
    <row r="153" spans="1:14">
      <c r="A153" s="896" t="s">
        <v>67</v>
      </c>
      <c r="B153" s="897" t="s">
        <v>153</v>
      </c>
      <c r="C153" s="1038">
        <v>138746</v>
      </c>
      <c r="D153" s="868">
        <v>312152</v>
      </c>
      <c r="E153" s="1225">
        <f>+'1.mell._Össz_Mérleg2019'!C153</f>
        <v>429715</v>
      </c>
      <c r="F153" s="1122">
        <f>+'1.mell._Össz_Mérleg2019'!D153</f>
        <v>861414</v>
      </c>
      <c r="G153" s="1122">
        <f>+'1.mell._Össz_Mérleg2019'!E153</f>
        <v>753532</v>
      </c>
      <c r="H153" s="1562">
        <f t="shared" si="23"/>
        <v>0.87476172897120319</v>
      </c>
      <c r="J153" s="3"/>
    </row>
    <row r="154" spans="1:14">
      <c r="A154" s="896" t="s">
        <v>68</v>
      </c>
      <c r="B154" s="897" t="s">
        <v>154</v>
      </c>
      <c r="C154" s="1038">
        <v>1078</v>
      </c>
      <c r="D154" s="868">
        <v>19415</v>
      </c>
      <c r="E154" s="1225">
        <f>+'1.mell._Össz_Mérleg2019'!C154</f>
        <v>2709</v>
      </c>
      <c r="F154" s="1122">
        <f>+'1.mell._Össz_Mérleg2019'!D154</f>
        <v>3390</v>
      </c>
      <c r="G154" s="1122">
        <f>+'1.mell._Össz_Mérleg2019'!E154</f>
        <v>3390</v>
      </c>
      <c r="H154" s="1562">
        <f t="shared" si="23"/>
        <v>1</v>
      </c>
      <c r="J154" s="3"/>
    </row>
    <row r="155" spans="1:14">
      <c r="A155" s="896" t="s">
        <v>230</v>
      </c>
      <c r="B155" s="897" t="s">
        <v>155</v>
      </c>
      <c r="C155" s="1038">
        <v>52048</v>
      </c>
      <c r="D155" s="868">
        <v>55680</v>
      </c>
      <c r="E155" s="1225">
        <f>+'1.mell._Össz_Mérleg2019'!C155</f>
        <v>10356</v>
      </c>
      <c r="F155" s="1122">
        <f>+'1.mell._Össz_Mérleg2019'!D155</f>
        <v>42784</v>
      </c>
      <c r="G155" s="1122">
        <f>+'1.mell._Össz_Mérleg2019'!E155</f>
        <v>40252</v>
      </c>
      <c r="H155" s="1562">
        <f t="shared" si="23"/>
        <v>0.94081899775617051</v>
      </c>
      <c r="J155" s="3"/>
    </row>
    <row r="156" spans="1:14">
      <c r="A156" s="896" t="s">
        <v>231</v>
      </c>
      <c r="B156" s="897" t="s">
        <v>156</v>
      </c>
      <c r="C156" s="1038"/>
      <c r="D156" s="868">
        <v>5000</v>
      </c>
      <c r="E156" s="1225">
        <f>+'1.mell._Össz_Mérleg2019'!C156</f>
        <v>0</v>
      </c>
      <c r="F156" s="1122">
        <f>+'1.mell._Össz_Mérleg2019'!D156</f>
        <v>0</v>
      </c>
      <c r="G156" s="1122">
        <f>+'1.mell._Össz_Mérleg2019'!E156</f>
        <v>0</v>
      </c>
      <c r="H156" s="1562" t="str">
        <f t="shared" si="23"/>
        <v>-</v>
      </c>
      <c r="J156" s="3"/>
    </row>
    <row r="157" spans="1:14">
      <c r="A157" s="896" t="s">
        <v>269</v>
      </c>
      <c r="B157" s="897" t="s">
        <v>157</v>
      </c>
      <c r="C157" s="1038"/>
      <c r="D157" s="868"/>
      <c r="E157" s="1225">
        <f>+'1.mell._Össz_Mérleg2019'!C157</f>
        <v>0</v>
      </c>
      <c r="F157" s="1122">
        <f>+'1.mell._Össz_Mérleg2019'!D157</f>
        <v>0</v>
      </c>
      <c r="G157" s="1122">
        <f>+'1.mell._Össz_Mérleg2019'!E157</f>
        <v>0</v>
      </c>
      <c r="H157" s="1562" t="str">
        <f t="shared" si="23"/>
        <v>-</v>
      </c>
      <c r="J157" s="3"/>
    </row>
    <row r="158" spans="1:14" ht="12.75" thickBot="1">
      <c r="A158" s="898" t="s">
        <v>270</v>
      </c>
      <c r="B158" s="899" t="s">
        <v>158</v>
      </c>
      <c r="C158" s="1023">
        <v>16312</v>
      </c>
      <c r="D158" s="871">
        <v>83182</v>
      </c>
      <c r="E158" s="1226">
        <f>+'1.mell._Össz_Mérleg2019'!C158</f>
        <v>15644</v>
      </c>
      <c r="F158" s="1123">
        <f>+'1.mell._Össz_Mérleg2019'!D158</f>
        <v>23630</v>
      </c>
      <c r="G158" s="1123">
        <f>+'1.mell._Össz_Mérleg2019'!E158</f>
        <v>18860</v>
      </c>
      <c r="H158" s="1561">
        <f t="shared" si="23"/>
        <v>0.79813796022005923</v>
      </c>
      <c r="J158" s="3"/>
    </row>
    <row r="159" spans="1:14" s="119" customFormat="1" ht="12.75" thickBot="1">
      <c r="A159" s="884" t="s">
        <v>12</v>
      </c>
      <c r="B159" s="891" t="s">
        <v>313</v>
      </c>
      <c r="C159" s="1035">
        <f t="shared" ref="C159:G159" si="31">+C161+C162+C163+C164</f>
        <v>62626</v>
      </c>
      <c r="D159" s="112">
        <f t="shared" si="31"/>
        <v>228800</v>
      </c>
      <c r="E159" s="1222">
        <f t="shared" si="31"/>
        <v>19676</v>
      </c>
      <c r="F159" s="1119">
        <f t="shared" si="31"/>
        <v>419698</v>
      </c>
      <c r="G159" s="1119">
        <f t="shared" si="31"/>
        <v>252513</v>
      </c>
      <c r="H159" s="1558">
        <f t="shared" si="23"/>
        <v>0.60165404648104115</v>
      </c>
      <c r="J159" s="3"/>
      <c r="K159" s="3"/>
      <c r="L159" s="3"/>
      <c r="M159" s="3"/>
      <c r="N159" s="3"/>
    </row>
    <row r="160" spans="1:14" s="876" customFormat="1">
      <c r="A160" s="917" t="s">
        <v>344</v>
      </c>
      <c r="B160" s="918" t="s">
        <v>345</v>
      </c>
      <c r="C160" s="1024">
        <v>743</v>
      </c>
      <c r="D160" s="921">
        <v>212673</v>
      </c>
      <c r="E160" s="1232">
        <f>+'1.mell._Össz_Mérleg2019'!C160</f>
        <v>0</v>
      </c>
      <c r="F160" s="1126">
        <f>+'1.mell._Össz_Mérleg2019'!D160</f>
        <v>187057</v>
      </c>
      <c r="G160" s="1126">
        <f>+'1.mell._Össz_Mérleg2019'!E160</f>
        <v>187057</v>
      </c>
      <c r="H160" s="1559">
        <f t="shared" si="23"/>
        <v>1</v>
      </c>
      <c r="J160" s="3"/>
      <c r="K160" s="36"/>
      <c r="L160" s="36"/>
      <c r="M160" s="36"/>
      <c r="N160" s="36"/>
    </row>
    <row r="161" spans="1:14">
      <c r="A161" s="892" t="s">
        <v>69</v>
      </c>
      <c r="B161" s="113" t="s">
        <v>159</v>
      </c>
      <c r="C161" s="1036">
        <v>49935</v>
      </c>
      <c r="D161" s="116">
        <v>178158</v>
      </c>
      <c r="E161" s="1223">
        <f>+'1.mell._Össz_Mérleg2019'!C161</f>
        <v>15492</v>
      </c>
      <c r="F161" s="1120">
        <f>+'1.mell._Össz_Mérleg2019'!D161</f>
        <v>375288</v>
      </c>
      <c r="G161" s="1120">
        <f>+'1.mell._Össz_Mérleg2019'!E161</f>
        <v>208582</v>
      </c>
      <c r="H161" s="1560">
        <f t="shared" si="23"/>
        <v>0.55579181855002024</v>
      </c>
      <c r="J161" s="3"/>
    </row>
    <row r="162" spans="1:14">
      <c r="A162" s="896" t="s">
        <v>70</v>
      </c>
      <c r="B162" s="897" t="s">
        <v>160</v>
      </c>
      <c r="C162" s="1038"/>
      <c r="D162" s="868">
        <v>0</v>
      </c>
      <c r="E162" s="1225">
        <f>+'1.mell._Össz_Mérleg2019'!C162</f>
        <v>0</v>
      </c>
      <c r="F162" s="1122">
        <f>+'1.mell._Össz_Mérleg2019'!D162</f>
        <v>0</v>
      </c>
      <c r="G162" s="1122">
        <f>+'1.mell._Össz_Mérleg2019'!E162</f>
        <v>0</v>
      </c>
      <c r="H162" s="1562" t="str">
        <f t="shared" si="23"/>
        <v>-</v>
      </c>
      <c r="J162" s="3"/>
    </row>
    <row r="163" spans="1:14">
      <c r="A163" s="896" t="s">
        <v>71</v>
      </c>
      <c r="B163" s="897" t="s">
        <v>161</v>
      </c>
      <c r="C163" s="1038"/>
      <c r="D163" s="868">
        <v>2109</v>
      </c>
      <c r="E163" s="1225">
        <f>+'1.mell._Össz_Mérleg2019'!C163</f>
        <v>0</v>
      </c>
      <c r="F163" s="1122">
        <f>+'1.mell._Össz_Mérleg2019'!D163</f>
        <v>0</v>
      </c>
      <c r="G163" s="1122">
        <f>+'1.mell._Össz_Mérleg2019'!E163</f>
        <v>0</v>
      </c>
      <c r="H163" s="1562" t="str">
        <f t="shared" si="23"/>
        <v>-</v>
      </c>
      <c r="J163" s="3"/>
    </row>
    <row r="164" spans="1:14" ht="12.75" thickBot="1">
      <c r="A164" s="898" t="s">
        <v>72</v>
      </c>
      <c r="B164" s="899" t="s">
        <v>162</v>
      </c>
      <c r="C164" s="1023">
        <v>12691</v>
      </c>
      <c r="D164" s="871">
        <v>48533</v>
      </c>
      <c r="E164" s="1226">
        <f>+'1.mell._Össz_Mérleg2019'!C164</f>
        <v>4184</v>
      </c>
      <c r="F164" s="1123">
        <f>+'1.mell._Össz_Mérleg2019'!D164</f>
        <v>44410</v>
      </c>
      <c r="G164" s="1123">
        <f>+'1.mell._Össz_Mérleg2019'!E164</f>
        <v>43931</v>
      </c>
      <c r="H164" s="1561">
        <f t="shared" si="23"/>
        <v>0.98921414095924343</v>
      </c>
      <c r="J164" s="3"/>
    </row>
    <row r="165" spans="1:14" s="119" customFormat="1" ht="12.75" thickBot="1">
      <c r="A165" s="884" t="s">
        <v>11</v>
      </c>
      <c r="B165" s="891" t="s">
        <v>936</v>
      </c>
      <c r="C165" s="1035">
        <f t="shared" ref="C165:G165" si="32">+C166+C167+C168+C169+C171+C172+C173+C174+C175</f>
        <v>0</v>
      </c>
      <c r="D165" s="112">
        <f t="shared" si="32"/>
        <v>1200</v>
      </c>
      <c r="E165" s="1222">
        <f t="shared" si="32"/>
        <v>0</v>
      </c>
      <c r="F165" s="1119">
        <f t="shared" si="32"/>
        <v>18</v>
      </c>
      <c r="G165" s="1119">
        <f t="shared" si="32"/>
        <v>18</v>
      </c>
      <c r="H165" s="1558">
        <f t="shared" si="23"/>
        <v>1</v>
      </c>
      <c r="J165" s="3"/>
      <c r="K165" s="3"/>
      <c r="L165" s="3"/>
      <c r="M165" s="3"/>
      <c r="N165" s="3"/>
    </row>
    <row r="166" spans="1:14">
      <c r="A166" s="892" t="s">
        <v>271</v>
      </c>
      <c r="B166" s="113" t="s">
        <v>163</v>
      </c>
      <c r="C166" s="1036"/>
      <c r="D166" s="116"/>
      <c r="E166" s="1223">
        <f>+'1.mell._Össz_Mérleg2019'!C166</f>
        <v>0</v>
      </c>
      <c r="F166" s="1120">
        <f>+'1.mell._Össz_Mérleg2019'!D166</f>
        <v>0</v>
      </c>
      <c r="G166" s="1120">
        <f>+'1.mell._Össz_Mérleg2019'!E166</f>
        <v>0</v>
      </c>
      <c r="H166" s="1560" t="str">
        <f t="shared" si="23"/>
        <v>-</v>
      </c>
      <c r="J166" s="3"/>
    </row>
    <row r="167" spans="1:14">
      <c r="A167" s="896" t="s">
        <v>272</v>
      </c>
      <c r="B167" s="897" t="s">
        <v>164</v>
      </c>
      <c r="C167" s="1038"/>
      <c r="D167" s="868"/>
      <c r="E167" s="1225">
        <f>+'1.mell._Össz_Mérleg2019'!C167</f>
        <v>0</v>
      </c>
      <c r="F167" s="1122">
        <f>+'1.mell._Össz_Mérleg2019'!D167</f>
        <v>0</v>
      </c>
      <c r="G167" s="1122">
        <f>+'1.mell._Össz_Mérleg2019'!E167</f>
        <v>0</v>
      </c>
      <c r="H167" s="1562" t="str">
        <f t="shared" si="23"/>
        <v>-</v>
      </c>
      <c r="J167" s="3"/>
    </row>
    <row r="168" spans="1:14">
      <c r="A168" s="896" t="s">
        <v>273</v>
      </c>
      <c r="B168" s="897" t="s">
        <v>165</v>
      </c>
      <c r="C168" s="1038"/>
      <c r="D168" s="868"/>
      <c r="E168" s="1225">
        <f>+'1.mell._Össz_Mérleg2019'!C168</f>
        <v>0</v>
      </c>
      <c r="F168" s="1122">
        <f>+'1.mell._Össz_Mérleg2019'!D168</f>
        <v>0</v>
      </c>
      <c r="G168" s="1122">
        <f>+'1.mell._Össz_Mérleg2019'!E168</f>
        <v>0</v>
      </c>
      <c r="H168" s="1562" t="str">
        <f t="shared" si="23"/>
        <v>-</v>
      </c>
      <c r="J168" s="3"/>
    </row>
    <row r="169" spans="1:14">
      <c r="A169" s="896" t="s">
        <v>274</v>
      </c>
      <c r="B169" s="897" t="s">
        <v>166</v>
      </c>
      <c r="C169" s="1038"/>
      <c r="D169" s="868">
        <v>1200</v>
      </c>
      <c r="E169" s="1225">
        <f>+'1.mell._Össz_Mérleg2019'!C169</f>
        <v>0</v>
      </c>
      <c r="F169" s="1122">
        <f>+'1.mell._Össz_Mérleg2019'!D169</f>
        <v>0</v>
      </c>
      <c r="G169" s="1122">
        <f>+'1.mell._Össz_Mérleg2019'!E169</f>
        <v>0</v>
      </c>
      <c r="H169" s="1562" t="str">
        <f t="shared" si="23"/>
        <v>-</v>
      </c>
      <c r="J169" s="3"/>
    </row>
    <row r="170" spans="1:14" s="117" customFormat="1">
      <c r="A170" s="900" t="s">
        <v>339</v>
      </c>
      <c r="B170" s="901" t="s">
        <v>340</v>
      </c>
      <c r="C170" s="1022"/>
      <c r="D170" s="904"/>
      <c r="E170" s="1227">
        <f>+'1.mell._Össz_Mérleg2019'!C170</f>
        <v>0</v>
      </c>
      <c r="F170" s="1124">
        <f>+'1.mell._Össz_Mérleg2019'!D170</f>
        <v>0</v>
      </c>
      <c r="G170" s="1124">
        <f>+'1.mell._Össz_Mérleg2019'!E170</f>
        <v>0</v>
      </c>
      <c r="H170" s="1561" t="str">
        <f t="shared" si="23"/>
        <v>-</v>
      </c>
      <c r="J170" s="3"/>
      <c r="K170" s="13"/>
      <c r="L170" s="13"/>
      <c r="M170" s="13"/>
      <c r="N170" s="13"/>
    </row>
    <row r="171" spans="1:14">
      <c r="A171" s="896" t="s">
        <v>275</v>
      </c>
      <c r="B171" s="897" t="s">
        <v>167</v>
      </c>
      <c r="C171" s="1038"/>
      <c r="D171" s="868"/>
      <c r="E171" s="1225">
        <f>+'1.mell._Össz_Mérleg2019'!C171</f>
        <v>0</v>
      </c>
      <c r="F171" s="1122">
        <f>+'1.mell._Össz_Mérleg2019'!D171</f>
        <v>0</v>
      </c>
      <c r="G171" s="1122">
        <f>+'1.mell._Össz_Mérleg2019'!E171</f>
        <v>0</v>
      </c>
      <c r="H171" s="1562" t="str">
        <f t="shared" si="23"/>
        <v>-</v>
      </c>
      <c r="J171" s="3"/>
    </row>
    <row r="172" spans="1:14">
      <c r="A172" s="896" t="s">
        <v>276</v>
      </c>
      <c r="B172" s="897" t="s">
        <v>168</v>
      </c>
      <c r="C172" s="1038"/>
      <c r="D172" s="868"/>
      <c r="E172" s="1225">
        <f>+'1.mell._Össz_Mérleg2019'!C172</f>
        <v>0</v>
      </c>
      <c r="F172" s="1122">
        <f>+'1.mell._Össz_Mérleg2019'!D172</f>
        <v>0</v>
      </c>
      <c r="G172" s="1122">
        <f>+'1.mell._Össz_Mérleg2019'!E172</f>
        <v>0</v>
      </c>
      <c r="H172" s="1562" t="str">
        <f t="shared" si="23"/>
        <v>-</v>
      </c>
      <c r="J172" s="3"/>
    </row>
    <row r="173" spans="1:14">
      <c r="A173" s="896" t="s">
        <v>277</v>
      </c>
      <c r="B173" s="897" t="s">
        <v>169</v>
      </c>
      <c r="C173" s="1038"/>
      <c r="D173" s="868"/>
      <c r="E173" s="1225">
        <f>+'1.mell._Össz_Mérleg2019'!C173</f>
        <v>0</v>
      </c>
      <c r="F173" s="1122">
        <f>+'1.mell._Össz_Mérleg2019'!D173</f>
        <v>0</v>
      </c>
      <c r="G173" s="1122">
        <f>+'1.mell._Össz_Mérleg2019'!E173</f>
        <v>0</v>
      </c>
      <c r="H173" s="1562" t="str">
        <f t="shared" ref="H173:H208" si="33">IF(ISERROR(G173/F173),"-",G173/F173)</f>
        <v>-</v>
      </c>
      <c r="J173" s="3"/>
    </row>
    <row r="174" spans="1:14">
      <c r="A174" s="896" t="s">
        <v>278</v>
      </c>
      <c r="B174" s="897" t="s">
        <v>937</v>
      </c>
      <c r="C174" s="1038"/>
      <c r="D174" s="868"/>
      <c r="E174" s="1225">
        <f>+'1.mell._Össz_Mérleg2019'!C174</f>
        <v>0</v>
      </c>
      <c r="F174" s="1122">
        <f>+'1.mell._Össz_Mérleg2019'!D174</f>
        <v>0</v>
      </c>
      <c r="G174" s="1122">
        <f>+'1.mell._Össz_Mérleg2019'!E174</f>
        <v>0</v>
      </c>
      <c r="H174" s="1562" t="str">
        <f t="shared" si="33"/>
        <v>-</v>
      </c>
      <c r="J174" s="3"/>
    </row>
    <row r="175" spans="1:14" ht="12.75" thickBot="1">
      <c r="A175" s="898" t="s">
        <v>935</v>
      </c>
      <c r="B175" s="899" t="s">
        <v>938</v>
      </c>
      <c r="C175" s="1023"/>
      <c r="D175" s="871"/>
      <c r="E175" s="1226">
        <f>+'1.mell._Össz_Mérleg2019'!C175</f>
        <v>0</v>
      </c>
      <c r="F175" s="1123">
        <f>+'1.mell._Össz_Mérleg2019'!D175</f>
        <v>18</v>
      </c>
      <c r="G175" s="1123">
        <f>+'1.mell._Össz_Mérleg2019'!E175</f>
        <v>18</v>
      </c>
      <c r="H175" s="1561">
        <f t="shared" si="33"/>
        <v>1</v>
      </c>
      <c r="J175" s="3"/>
    </row>
    <row r="176" spans="1:14" s="119" customFormat="1" ht="12.75" thickBot="1">
      <c r="A176" s="884" t="s">
        <v>10</v>
      </c>
      <c r="B176" s="905" t="s">
        <v>314</v>
      </c>
      <c r="C176" s="1035">
        <f t="shared" ref="C176:G176" si="34">+C109+C149</f>
        <v>1779229</v>
      </c>
      <c r="D176" s="112">
        <f t="shared" si="34"/>
        <v>2513536</v>
      </c>
      <c r="E176" s="1222">
        <f t="shared" si="34"/>
        <v>4596548</v>
      </c>
      <c r="F176" s="1119">
        <f t="shared" si="34"/>
        <v>6556294</v>
      </c>
      <c r="G176" s="1119">
        <f t="shared" si="34"/>
        <v>3032485</v>
      </c>
      <c r="H176" s="1558">
        <f t="shared" si="33"/>
        <v>0.46253035632630263</v>
      </c>
      <c r="J176" s="3"/>
      <c r="K176" s="3"/>
      <c r="L176" s="3"/>
      <c r="M176" s="3"/>
      <c r="N176" s="3"/>
    </row>
    <row r="177" spans="1:14" s="119" customFormat="1" ht="12.75" thickBot="1">
      <c r="A177" s="884" t="s">
        <v>9</v>
      </c>
      <c r="B177" s="906" t="s">
        <v>315</v>
      </c>
      <c r="C177" s="1035">
        <f t="shared" ref="C177:G177" si="35">+C178</f>
        <v>638506</v>
      </c>
      <c r="D177" s="112">
        <f t="shared" si="35"/>
        <v>110911</v>
      </c>
      <c r="E177" s="1222">
        <f t="shared" si="35"/>
        <v>26671</v>
      </c>
      <c r="F177" s="1119">
        <f t="shared" si="35"/>
        <v>91948</v>
      </c>
      <c r="G177" s="1119">
        <f t="shared" si="35"/>
        <v>91948</v>
      </c>
      <c r="H177" s="1558">
        <f t="shared" si="33"/>
        <v>1</v>
      </c>
      <c r="J177" s="3"/>
      <c r="K177" s="3"/>
      <c r="L177" s="3"/>
      <c r="M177" s="3"/>
      <c r="N177" s="3"/>
    </row>
    <row r="178" spans="1:14" s="119" customFormat="1" ht="12.75" thickBot="1">
      <c r="A178" s="884" t="s">
        <v>45</v>
      </c>
      <c r="B178" s="891" t="s">
        <v>945</v>
      </c>
      <c r="C178" s="1035">
        <f t="shared" ref="C178:G178" si="36">+C179+C189+C190+C191</f>
        <v>638506</v>
      </c>
      <c r="D178" s="112">
        <f t="shared" si="36"/>
        <v>110911</v>
      </c>
      <c r="E178" s="1222">
        <f t="shared" si="36"/>
        <v>26671</v>
      </c>
      <c r="F178" s="1119">
        <f t="shared" si="36"/>
        <v>91948</v>
      </c>
      <c r="G178" s="1119">
        <f t="shared" si="36"/>
        <v>91948</v>
      </c>
      <c r="H178" s="1558">
        <f t="shared" si="33"/>
        <v>1</v>
      </c>
      <c r="J178" s="3"/>
      <c r="K178" s="3"/>
      <c r="L178" s="3"/>
      <c r="M178" s="3"/>
      <c r="N178" s="3"/>
    </row>
    <row r="179" spans="1:14">
      <c r="A179" s="892" t="s">
        <v>75</v>
      </c>
      <c r="B179" s="113" t="s">
        <v>946</v>
      </c>
      <c r="C179" s="1036">
        <f t="shared" ref="C179:G179" si="37">+C180+C181+C182+C183+C184+C185+C186+C187+C188</f>
        <v>638506</v>
      </c>
      <c r="D179" s="116">
        <f t="shared" si="37"/>
        <v>110911</v>
      </c>
      <c r="E179" s="1223">
        <f t="shared" si="37"/>
        <v>26671</v>
      </c>
      <c r="F179" s="1120">
        <f t="shared" si="37"/>
        <v>91948</v>
      </c>
      <c r="G179" s="1120">
        <f t="shared" si="37"/>
        <v>91948</v>
      </c>
      <c r="H179" s="1560">
        <f t="shared" si="33"/>
        <v>1</v>
      </c>
      <c r="J179" s="3"/>
    </row>
    <row r="180" spans="1:14" s="117" customFormat="1">
      <c r="A180" s="108" t="s">
        <v>205</v>
      </c>
      <c r="B180" s="109" t="s">
        <v>170</v>
      </c>
      <c r="C180" s="1037">
        <v>613394</v>
      </c>
      <c r="D180" s="658">
        <v>85565</v>
      </c>
      <c r="E180" s="1224">
        <f>+'1.mell._Össz_Mérleg2019'!C180</f>
        <v>0</v>
      </c>
      <c r="F180" s="1121">
        <f>+'1.mell._Össz_Mérleg2019'!D180</f>
        <v>65277</v>
      </c>
      <c r="G180" s="1121">
        <f>+'1.mell._Össz_Mérleg2019'!E180</f>
        <v>65277</v>
      </c>
      <c r="H180" s="1562">
        <f t="shared" si="33"/>
        <v>1</v>
      </c>
      <c r="J180" s="3"/>
      <c r="K180" s="13"/>
      <c r="L180" s="13"/>
      <c r="M180" s="13"/>
      <c r="N180" s="13"/>
    </row>
    <row r="181" spans="1:14" s="117" customFormat="1">
      <c r="A181" s="108" t="s">
        <v>206</v>
      </c>
      <c r="B181" s="109" t="s">
        <v>171</v>
      </c>
      <c r="C181" s="1037"/>
      <c r="D181" s="658"/>
      <c r="E181" s="1224">
        <f>+'1.mell._Össz_Mérleg2019'!C181</f>
        <v>0</v>
      </c>
      <c r="F181" s="1121">
        <f>+'1.mell._Össz_Mérleg2019'!D181</f>
        <v>0</v>
      </c>
      <c r="G181" s="1121">
        <f>+'1.mell._Össz_Mérleg2019'!E181</f>
        <v>0</v>
      </c>
      <c r="H181" s="1562" t="str">
        <f t="shared" si="33"/>
        <v>-</v>
      </c>
      <c r="J181" s="3"/>
      <c r="K181" s="13"/>
      <c r="L181" s="13"/>
      <c r="M181" s="13"/>
      <c r="N181" s="13"/>
    </row>
    <row r="182" spans="1:14" s="117" customFormat="1">
      <c r="A182" s="108" t="s">
        <v>207</v>
      </c>
      <c r="B182" s="109" t="s">
        <v>172</v>
      </c>
      <c r="C182" s="1037"/>
      <c r="D182" s="658"/>
      <c r="E182" s="1224">
        <f>+'1.mell._Össz_Mérleg2019'!C182</f>
        <v>0</v>
      </c>
      <c r="F182" s="1121">
        <f>+'1.mell._Össz_Mérleg2019'!D182</f>
        <v>0</v>
      </c>
      <c r="G182" s="1121">
        <f>+'1.mell._Össz_Mérleg2019'!E182</f>
        <v>0</v>
      </c>
      <c r="H182" s="1562" t="str">
        <f t="shared" si="33"/>
        <v>-</v>
      </c>
      <c r="J182" s="3"/>
      <c r="K182" s="13"/>
      <c r="L182" s="13"/>
      <c r="M182" s="13"/>
      <c r="N182" s="13"/>
    </row>
    <row r="183" spans="1:14" s="117" customFormat="1">
      <c r="A183" s="108" t="s">
        <v>208</v>
      </c>
      <c r="B183" s="109" t="s">
        <v>173</v>
      </c>
      <c r="C183" s="1037">
        <v>25112</v>
      </c>
      <c r="D183" s="658">
        <v>25346</v>
      </c>
      <c r="E183" s="1224">
        <f>+'1.mell._Össz_Mérleg2019'!C183</f>
        <v>26671</v>
      </c>
      <c r="F183" s="1121">
        <f>+'1.mell._Össz_Mérleg2019'!D183</f>
        <v>26671</v>
      </c>
      <c r="G183" s="1121">
        <f>+'1.mell._Össz_Mérleg2019'!E183</f>
        <v>26671</v>
      </c>
      <c r="H183" s="1562">
        <f t="shared" si="33"/>
        <v>1</v>
      </c>
      <c r="J183" s="3"/>
      <c r="K183" s="13"/>
      <c r="L183" s="13"/>
      <c r="M183" s="13"/>
      <c r="N183" s="13"/>
    </row>
    <row r="184" spans="1:14" s="117" customFormat="1">
      <c r="A184" s="1656" t="s">
        <v>209</v>
      </c>
      <c r="B184" s="1657" t="s">
        <v>174</v>
      </c>
      <c r="C184" s="1658"/>
      <c r="D184" s="1659"/>
      <c r="E184" s="1660">
        <f>+'1.mell._Össz_Mérleg2019'!C184</f>
        <v>0</v>
      </c>
      <c r="F184" s="1661">
        <f>+'1.mell._Össz_Mérleg2019'!D184</f>
        <v>0</v>
      </c>
      <c r="G184" s="1661">
        <f>+'1.mell._Össz_Mérleg2019'!E184</f>
        <v>0</v>
      </c>
      <c r="H184" s="1662" t="str">
        <f t="shared" si="33"/>
        <v>-</v>
      </c>
      <c r="J184" s="3"/>
      <c r="K184" s="13"/>
      <c r="L184" s="13"/>
      <c r="M184" s="13"/>
      <c r="N184" s="13"/>
    </row>
    <row r="185" spans="1:14" s="117" customFormat="1">
      <c r="A185" s="108" t="s">
        <v>210</v>
      </c>
      <c r="B185" s="109" t="s">
        <v>179</v>
      </c>
      <c r="C185" s="1037"/>
      <c r="D185" s="658"/>
      <c r="E185" s="1224">
        <f>+'1.mell._Össz_Mérleg2019'!C185</f>
        <v>0</v>
      </c>
      <c r="F185" s="1121">
        <f>+'1.mell._Össz_Mérleg2019'!D185</f>
        <v>0</v>
      </c>
      <c r="G185" s="1121">
        <f>+'1.mell._Össz_Mérleg2019'!E185</f>
        <v>0</v>
      </c>
      <c r="H185" s="1562" t="str">
        <f t="shared" si="33"/>
        <v>-</v>
      </c>
      <c r="J185" s="3"/>
      <c r="K185" s="13"/>
      <c r="L185" s="13"/>
      <c r="M185" s="13"/>
      <c r="N185" s="13"/>
    </row>
    <row r="186" spans="1:14" s="117" customFormat="1">
      <c r="A186" s="108" t="s">
        <v>211</v>
      </c>
      <c r="B186" s="109" t="s">
        <v>175</v>
      </c>
      <c r="C186" s="1037"/>
      <c r="D186" s="658"/>
      <c r="E186" s="1224">
        <f>+'1.mell._Össz_Mérleg2019'!C186</f>
        <v>0</v>
      </c>
      <c r="F186" s="1121">
        <f>+'1.mell._Össz_Mérleg2019'!D186</f>
        <v>0</v>
      </c>
      <c r="G186" s="1121">
        <f>+'1.mell._Össz_Mérleg2019'!E186</f>
        <v>0</v>
      </c>
      <c r="H186" s="1562" t="str">
        <f t="shared" si="33"/>
        <v>-</v>
      </c>
      <c r="J186" s="3"/>
      <c r="K186" s="13"/>
      <c r="L186" s="13"/>
      <c r="M186" s="13"/>
      <c r="N186" s="13"/>
    </row>
    <row r="187" spans="1:14" s="117" customFormat="1">
      <c r="A187" s="108" t="s">
        <v>212</v>
      </c>
      <c r="B187" s="109" t="s">
        <v>176</v>
      </c>
      <c r="C187" s="1037"/>
      <c r="D187" s="658"/>
      <c r="E187" s="1224">
        <f>+'1.mell._Össz_Mérleg2019'!C187</f>
        <v>0</v>
      </c>
      <c r="F187" s="1121">
        <f>+'1.mell._Össz_Mérleg2019'!D187</f>
        <v>0</v>
      </c>
      <c r="G187" s="1121">
        <f>+'1.mell._Össz_Mérleg2019'!E187</f>
        <v>0</v>
      </c>
      <c r="H187" s="1562" t="str">
        <f t="shared" si="33"/>
        <v>-</v>
      </c>
      <c r="J187" s="3"/>
      <c r="K187" s="13"/>
      <c r="L187" s="13"/>
      <c r="M187" s="13"/>
      <c r="N187" s="13"/>
    </row>
    <row r="188" spans="1:14" s="117" customFormat="1">
      <c r="A188" s="108" t="s">
        <v>939</v>
      </c>
      <c r="B188" s="109" t="s">
        <v>941</v>
      </c>
      <c r="C188" s="1037"/>
      <c r="D188" s="658"/>
      <c r="E188" s="1224">
        <f>+'1.mell._Össz_Mérleg2019'!C188</f>
        <v>0</v>
      </c>
      <c r="F188" s="1121">
        <f>+'1.mell._Össz_Mérleg2019'!D188</f>
        <v>0</v>
      </c>
      <c r="G188" s="1121">
        <f>+'1.mell._Össz_Mérleg2019'!E188</f>
        <v>0</v>
      </c>
      <c r="H188" s="1562" t="str">
        <f t="shared" si="33"/>
        <v>-</v>
      </c>
      <c r="J188" s="3"/>
      <c r="K188" s="13"/>
      <c r="L188" s="13"/>
      <c r="M188" s="13"/>
      <c r="N188" s="13"/>
    </row>
    <row r="189" spans="1:14">
      <c r="A189" s="896" t="s">
        <v>76</v>
      </c>
      <c r="B189" s="897" t="s">
        <v>177</v>
      </c>
      <c r="C189" s="1038"/>
      <c r="D189" s="868"/>
      <c r="E189" s="1225">
        <f>+'1.mell._Össz_Mérleg2019'!C189</f>
        <v>0</v>
      </c>
      <c r="F189" s="1122">
        <f>+'1.mell._Össz_Mérleg2019'!D189</f>
        <v>0</v>
      </c>
      <c r="G189" s="1122">
        <f>+'1.mell._Össz_Mérleg2019'!E189</f>
        <v>0</v>
      </c>
      <c r="H189" s="1562" t="str">
        <f t="shared" si="33"/>
        <v>-</v>
      </c>
      <c r="J189" s="3"/>
    </row>
    <row r="190" spans="1:14">
      <c r="A190" s="898" t="s">
        <v>77</v>
      </c>
      <c r="B190" s="899" t="s">
        <v>178</v>
      </c>
      <c r="C190" s="1023"/>
      <c r="D190" s="871"/>
      <c r="E190" s="1226">
        <f>+'1.mell._Össz_Mérleg2019'!C190</f>
        <v>0</v>
      </c>
      <c r="F190" s="1123">
        <f>+'1.mell._Össz_Mérleg2019'!D190</f>
        <v>0</v>
      </c>
      <c r="G190" s="1123">
        <f>+'1.mell._Össz_Mérleg2019'!E190</f>
        <v>0</v>
      </c>
      <c r="H190" s="1561" t="str">
        <f t="shared" si="33"/>
        <v>-</v>
      </c>
      <c r="J190" s="3"/>
    </row>
    <row r="191" spans="1:14" ht="12.75" thickBot="1">
      <c r="A191" s="898" t="s">
        <v>944</v>
      </c>
      <c r="B191" s="899" t="s">
        <v>942</v>
      </c>
      <c r="C191" s="1023"/>
      <c r="D191" s="871"/>
      <c r="E191" s="1226">
        <f>+'1.mell._Össz_Mérleg2019'!C191</f>
        <v>0</v>
      </c>
      <c r="F191" s="1123">
        <f>+'1.mell._Össz_Mérleg2019'!D191</f>
        <v>0</v>
      </c>
      <c r="G191" s="1123">
        <f>+'1.mell._Össz_Mérleg2019'!E191</f>
        <v>0</v>
      </c>
      <c r="H191" s="1561" t="str">
        <f t="shared" si="33"/>
        <v>-</v>
      </c>
      <c r="J191" s="3"/>
    </row>
    <row r="192" spans="1:14" s="119" customFormat="1" ht="12.75" thickBot="1">
      <c r="A192" s="884" t="s">
        <v>44</v>
      </c>
      <c r="B192" s="905" t="s">
        <v>316</v>
      </c>
      <c r="C192" s="1035">
        <f t="shared" ref="C192:G192" si="38">+C193</f>
        <v>9970</v>
      </c>
      <c r="D192" s="112">
        <f t="shared" si="38"/>
        <v>0</v>
      </c>
      <c r="E192" s="1222">
        <f t="shared" si="38"/>
        <v>0</v>
      </c>
      <c r="F192" s="1119">
        <f t="shared" si="38"/>
        <v>0</v>
      </c>
      <c r="G192" s="1119">
        <f t="shared" si="38"/>
        <v>0</v>
      </c>
      <c r="H192" s="1558" t="str">
        <f t="shared" si="33"/>
        <v>-</v>
      </c>
      <c r="J192" s="3"/>
      <c r="K192" s="3"/>
      <c r="L192" s="3"/>
      <c r="M192" s="3"/>
      <c r="N192" s="3"/>
    </row>
    <row r="193" spans="1:14" s="119" customFormat="1" ht="12.75" thickBot="1">
      <c r="A193" s="884" t="s">
        <v>43</v>
      </c>
      <c r="B193" s="891" t="s">
        <v>940</v>
      </c>
      <c r="C193" s="1035">
        <f t="shared" ref="C193:G193" si="39">+C194+C204+C205+C206</f>
        <v>9970</v>
      </c>
      <c r="D193" s="112">
        <f t="shared" si="39"/>
        <v>0</v>
      </c>
      <c r="E193" s="1222">
        <f t="shared" si="39"/>
        <v>0</v>
      </c>
      <c r="F193" s="1119">
        <f t="shared" si="39"/>
        <v>0</v>
      </c>
      <c r="G193" s="1119">
        <f t="shared" si="39"/>
        <v>0</v>
      </c>
      <c r="H193" s="1558" t="str">
        <f t="shared" si="33"/>
        <v>-</v>
      </c>
      <c r="J193" s="3"/>
      <c r="K193" s="3"/>
      <c r="L193" s="3"/>
      <c r="M193" s="3"/>
      <c r="N193" s="3"/>
    </row>
    <row r="194" spans="1:14">
      <c r="A194" s="892" t="s">
        <v>78</v>
      </c>
      <c r="B194" s="113" t="s">
        <v>978</v>
      </c>
      <c r="C194" s="1036">
        <f t="shared" ref="C194:G194" si="40">+C195+C196+C197+C198+C199+C200+C201+C202+C203</f>
        <v>9970</v>
      </c>
      <c r="D194" s="116">
        <f t="shared" si="40"/>
        <v>0</v>
      </c>
      <c r="E194" s="1223">
        <f t="shared" si="40"/>
        <v>0</v>
      </c>
      <c r="F194" s="1120">
        <f t="shared" si="40"/>
        <v>0</v>
      </c>
      <c r="G194" s="1120">
        <f t="shared" si="40"/>
        <v>0</v>
      </c>
      <c r="H194" s="1560" t="str">
        <f t="shared" si="33"/>
        <v>-</v>
      </c>
      <c r="J194" s="3"/>
    </row>
    <row r="195" spans="1:14" s="117" customFormat="1">
      <c r="A195" s="108" t="s">
        <v>213</v>
      </c>
      <c r="B195" s="109" t="s">
        <v>170</v>
      </c>
      <c r="C195" s="1037">
        <v>9970</v>
      </c>
      <c r="D195" s="658"/>
      <c r="E195" s="1224">
        <f>+'1.mell._Össz_Mérleg2019'!C195</f>
        <v>0</v>
      </c>
      <c r="F195" s="1121">
        <f>+'1.mell._Össz_Mérleg2019'!D195</f>
        <v>0</v>
      </c>
      <c r="G195" s="1121">
        <f>+'1.mell._Össz_Mérleg2019'!E195</f>
        <v>0</v>
      </c>
      <c r="H195" s="1562" t="str">
        <f t="shared" si="33"/>
        <v>-</v>
      </c>
      <c r="J195" s="3"/>
      <c r="K195" s="13"/>
      <c r="L195" s="13"/>
      <c r="M195" s="13"/>
      <c r="N195" s="13"/>
    </row>
    <row r="196" spans="1:14" s="117" customFormat="1">
      <c r="A196" s="108" t="s">
        <v>214</v>
      </c>
      <c r="B196" s="109" t="s">
        <v>171</v>
      </c>
      <c r="C196" s="1037"/>
      <c r="D196" s="658"/>
      <c r="E196" s="1224">
        <f>+'1.mell._Össz_Mérleg2019'!C196</f>
        <v>0</v>
      </c>
      <c r="F196" s="1121">
        <f>+'1.mell._Össz_Mérleg2019'!D196</f>
        <v>0</v>
      </c>
      <c r="G196" s="1121">
        <f>+'1.mell._Össz_Mérleg2019'!E196</f>
        <v>0</v>
      </c>
      <c r="H196" s="1562" t="str">
        <f t="shared" si="33"/>
        <v>-</v>
      </c>
      <c r="J196" s="3"/>
      <c r="K196" s="13"/>
      <c r="L196" s="13"/>
      <c r="M196" s="13"/>
      <c r="N196" s="13"/>
    </row>
    <row r="197" spans="1:14" s="117" customFormat="1">
      <c r="A197" s="108" t="s">
        <v>215</v>
      </c>
      <c r="B197" s="109" t="s">
        <v>172</v>
      </c>
      <c r="C197" s="1037"/>
      <c r="D197" s="658"/>
      <c r="E197" s="1224">
        <f>+'1.mell._Össz_Mérleg2019'!C197</f>
        <v>0</v>
      </c>
      <c r="F197" s="1121">
        <f>+'1.mell._Össz_Mérleg2019'!D197</f>
        <v>0</v>
      </c>
      <c r="G197" s="1121">
        <f>+'1.mell._Össz_Mérleg2019'!E197</f>
        <v>0</v>
      </c>
      <c r="H197" s="1562" t="str">
        <f t="shared" si="33"/>
        <v>-</v>
      </c>
      <c r="J197" s="3"/>
      <c r="K197" s="13"/>
      <c r="L197" s="13"/>
      <c r="M197" s="13"/>
      <c r="N197" s="13"/>
    </row>
    <row r="198" spans="1:14" s="117" customFormat="1">
      <c r="A198" s="108" t="s">
        <v>216</v>
      </c>
      <c r="B198" s="109" t="s">
        <v>173</v>
      </c>
      <c r="C198" s="1037"/>
      <c r="D198" s="658"/>
      <c r="E198" s="1224">
        <f>+'1.mell._Össz_Mérleg2019'!C198</f>
        <v>0</v>
      </c>
      <c r="F198" s="1121">
        <f>+'1.mell._Össz_Mérleg2019'!D198</f>
        <v>0</v>
      </c>
      <c r="G198" s="1121">
        <f>+'1.mell._Össz_Mérleg2019'!E198</f>
        <v>0</v>
      </c>
      <c r="H198" s="1562" t="str">
        <f t="shared" si="33"/>
        <v>-</v>
      </c>
      <c r="J198" s="3"/>
      <c r="K198" s="13"/>
      <c r="L198" s="13"/>
      <c r="M198" s="13"/>
      <c r="N198" s="13"/>
    </row>
    <row r="199" spans="1:14" s="117" customFormat="1">
      <c r="A199" s="1656" t="s">
        <v>217</v>
      </c>
      <c r="B199" s="1657" t="s">
        <v>174</v>
      </c>
      <c r="C199" s="1658"/>
      <c r="D199" s="1659"/>
      <c r="E199" s="1660">
        <f>+'1.mell._Össz_Mérleg2019'!C199</f>
        <v>0</v>
      </c>
      <c r="F199" s="1661">
        <f>+'1.mell._Össz_Mérleg2019'!D199</f>
        <v>0</v>
      </c>
      <c r="G199" s="1661">
        <f>+'1.mell._Össz_Mérleg2019'!E199</f>
        <v>0</v>
      </c>
      <c r="H199" s="1662" t="str">
        <f t="shared" si="33"/>
        <v>-</v>
      </c>
      <c r="J199" s="3"/>
      <c r="K199" s="13"/>
      <c r="L199" s="13"/>
      <c r="M199" s="13"/>
      <c r="N199" s="13"/>
    </row>
    <row r="200" spans="1:14" s="117" customFormat="1">
      <c r="A200" s="108" t="s">
        <v>218</v>
      </c>
      <c r="B200" s="109" t="s">
        <v>179</v>
      </c>
      <c r="C200" s="1037"/>
      <c r="D200" s="658"/>
      <c r="E200" s="1224">
        <f>+'1.mell._Össz_Mérleg2019'!C200</f>
        <v>0</v>
      </c>
      <c r="F200" s="1121">
        <f>+'1.mell._Össz_Mérleg2019'!D200</f>
        <v>0</v>
      </c>
      <c r="G200" s="1121">
        <f>+'1.mell._Össz_Mérleg2019'!E200</f>
        <v>0</v>
      </c>
      <c r="H200" s="1562" t="str">
        <f t="shared" si="33"/>
        <v>-</v>
      </c>
      <c r="J200" s="3"/>
      <c r="K200" s="13"/>
      <c r="L200" s="13"/>
      <c r="M200" s="13"/>
      <c r="N200" s="13"/>
    </row>
    <row r="201" spans="1:14" s="117" customFormat="1">
      <c r="A201" s="108" t="s">
        <v>219</v>
      </c>
      <c r="B201" s="109" t="s">
        <v>175</v>
      </c>
      <c r="C201" s="1037"/>
      <c r="D201" s="658"/>
      <c r="E201" s="1224">
        <f>+'1.mell._Össz_Mérleg2019'!C201</f>
        <v>0</v>
      </c>
      <c r="F201" s="1121">
        <f>+'1.mell._Össz_Mérleg2019'!D201</f>
        <v>0</v>
      </c>
      <c r="G201" s="1121">
        <f>+'1.mell._Össz_Mérleg2019'!E201</f>
        <v>0</v>
      </c>
      <c r="H201" s="1562" t="str">
        <f t="shared" si="33"/>
        <v>-</v>
      </c>
      <c r="J201" s="3"/>
      <c r="K201" s="13"/>
      <c r="L201" s="13"/>
      <c r="M201" s="13"/>
      <c r="N201" s="13"/>
    </row>
    <row r="202" spans="1:14" s="117" customFormat="1">
      <c r="A202" s="108" t="s">
        <v>220</v>
      </c>
      <c r="B202" s="109" t="s">
        <v>176</v>
      </c>
      <c r="C202" s="1037"/>
      <c r="D202" s="658"/>
      <c r="E202" s="1224">
        <f>+'1.mell._Össz_Mérleg2019'!C202</f>
        <v>0</v>
      </c>
      <c r="F202" s="1121">
        <f>+'1.mell._Össz_Mérleg2019'!D202</f>
        <v>0</v>
      </c>
      <c r="G202" s="1121">
        <f>+'1.mell._Össz_Mérleg2019'!E202</f>
        <v>0</v>
      </c>
      <c r="H202" s="1562" t="str">
        <f t="shared" si="33"/>
        <v>-</v>
      </c>
      <c r="J202" s="3"/>
      <c r="K202" s="13"/>
      <c r="L202" s="13"/>
      <c r="M202" s="13"/>
      <c r="N202" s="13"/>
    </row>
    <row r="203" spans="1:14" s="117" customFormat="1">
      <c r="A203" s="108" t="s">
        <v>939</v>
      </c>
      <c r="B203" s="109" t="s">
        <v>941</v>
      </c>
      <c r="C203" s="1037"/>
      <c r="D203" s="658"/>
      <c r="E203" s="1224">
        <f>+'1.mell._Össz_Mérleg2019'!C203</f>
        <v>0</v>
      </c>
      <c r="F203" s="1121">
        <f>+'1.mell._Össz_Mérleg2019'!D203</f>
        <v>0</v>
      </c>
      <c r="G203" s="1121">
        <f>+'1.mell._Össz_Mérleg2019'!E203</f>
        <v>0</v>
      </c>
      <c r="H203" s="1562" t="str">
        <f t="shared" si="33"/>
        <v>-</v>
      </c>
      <c r="J203" s="3"/>
      <c r="K203" s="13"/>
      <c r="L203" s="13"/>
      <c r="M203" s="13"/>
      <c r="N203" s="13"/>
    </row>
    <row r="204" spans="1:14">
      <c r="A204" s="896" t="s">
        <v>79</v>
      </c>
      <c r="B204" s="897" t="s">
        <v>177</v>
      </c>
      <c r="C204" s="1038"/>
      <c r="D204" s="868"/>
      <c r="E204" s="1225">
        <f>+'1.mell._Össz_Mérleg2019'!C204</f>
        <v>0</v>
      </c>
      <c r="F204" s="1122">
        <f>+'1.mell._Össz_Mérleg2019'!D204</f>
        <v>0</v>
      </c>
      <c r="G204" s="1122">
        <f>+'1.mell._Össz_Mérleg2019'!E204</f>
        <v>0</v>
      </c>
      <c r="H204" s="1562" t="str">
        <f t="shared" si="33"/>
        <v>-</v>
      </c>
      <c r="J204" s="3"/>
    </row>
    <row r="205" spans="1:14">
      <c r="A205" s="898" t="s">
        <v>221</v>
      </c>
      <c r="B205" s="899" t="s">
        <v>178</v>
      </c>
      <c r="C205" s="1023"/>
      <c r="D205" s="871"/>
      <c r="E205" s="1226">
        <f>+'1.mell._Össz_Mérleg2019'!C205</f>
        <v>0</v>
      </c>
      <c r="F205" s="1123">
        <f>+'1.mell._Össz_Mérleg2019'!D205</f>
        <v>0</v>
      </c>
      <c r="G205" s="1123">
        <f>+'1.mell._Össz_Mérleg2019'!E205</f>
        <v>0</v>
      </c>
      <c r="H205" s="1561" t="str">
        <f t="shared" si="33"/>
        <v>-</v>
      </c>
      <c r="J205" s="3"/>
    </row>
    <row r="206" spans="1:14" ht="12.75" thickBot="1">
      <c r="A206" s="898" t="s">
        <v>943</v>
      </c>
      <c r="B206" s="899" t="s">
        <v>942</v>
      </c>
      <c r="C206" s="1023"/>
      <c r="D206" s="871"/>
      <c r="E206" s="1226">
        <f>+'1.mell._Össz_Mérleg2019'!C206</f>
        <v>0</v>
      </c>
      <c r="F206" s="1123">
        <f>+'1.mell._Össz_Mérleg2019'!D206</f>
        <v>0</v>
      </c>
      <c r="G206" s="1123">
        <f>+'1.mell._Össz_Mérleg2019'!E206</f>
        <v>0</v>
      </c>
      <c r="H206" s="1561" t="str">
        <f t="shared" si="33"/>
        <v>-</v>
      </c>
      <c r="J206" s="3"/>
    </row>
    <row r="207" spans="1:14" s="119" customFormat="1" ht="12.75" thickBot="1">
      <c r="A207" s="884" t="s">
        <v>40</v>
      </c>
      <c r="B207" s="905" t="s">
        <v>317</v>
      </c>
      <c r="C207" s="1035">
        <f t="shared" ref="C207:G207" si="41">+C177+C192</f>
        <v>648476</v>
      </c>
      <c r="D207" s="112">
        <f t="shared" si="41"/>
        <v>110911</v>
      </c>
      <c r="E207" s="1222">
        <f t="shared" si="41"/>
        <v>26671</v>
      </c>
      <c r="F207" s="1119">
        <f t="shared" si="41"/>
        <v>91948</v>
      </c>
      <c r="G207" s="1119">
        <f t="shared" si="41"/>
        <v>91948</v>
      </c>
      <c r="H207" s="1558">
        <f t="shared" si="33"/>
        <v>1</v>
      </c>
      <c r="J207" s="3"/>
      <c r="K207" s="3"/>
      <c r="L207" s="3"/>
      <c r="M207" s="3"/>
      <c r="N207" s="3"/>
    </row>
    <row r="208" spans="1:14" s="119" customFormat="1" ht="12.75" thickBot="1">
      <c r="A208" s="907" t="s">
        <v>39</v>
      </c>
      <c r="B208" s="908" t="s">
        <v>335</v>
      </c>
      <c r="C208" s="1040">
        <f t="shared" ref="C208:G208" si="42">+C176+C207</f>
        <v>2427705</v>
      </c>
      <c r="D208" s="911">
        <f t="shared" si="42"/>
        <v>2624447</v>
      </c>
      <c r="E208" s="1230">
        <f t="shared" si="42"/>
        <v>4623219</v>
      </c>
      <c r="F208" s="1125">
        <f t="shared" si="42"/>
        <v>6648242</v>
      </c>
      <c r="G208" s="1125">
        <f t="shared" si="42"/>
        <v>3124433</v>
      </c>
      <c r="H208" s="1564">
        <f t="shared" si="33"/>
        <v>0.46996378892344776</v>
      </c>
      <c r="J208" s="3"/>
      <c r="K208" s="3"/>
      <c r="L208" s="3"/>
      <c r="M208" s="3"/>
      <c r="N208" s="3"/>
    </row>
    <row r="209" spans="1:29" s="117" customFormat="1">
      <c r="H209" s="1565"/>
      <c r="J209" s="3"/>
      <c r="K209" s="13"/>
      <c r="L209" s="13"/>
      <c r="M209" s="13"/>
      <c r="N209" s="13"/>
    </row>
    <row r="210" spans="1:29" s="876" customFormat="1">
      <c r="H210" s="1548"/>
      <c r="J210" s="3"/>
      <c r="K210" s="36"/>
      <c r="L210" s="36"/>
      <c r="M210" s="36"/>
      <c r="N210" s="36"/>
    </row>
    <row r="211" spans="1:29" s="1" customFormat="1" ht="15.75">
      <c r="A211" s="1790" t="s">
        <v>89</v>
      </c>
      <c r="B211" s="1790"/>
      <c r="C211" s="1790"/>
      <c r="D211" s="1790"/>
      <c r="E211" s="1790"/>
      <c r="F211" s="1790"/>
      <c r="G211" s="1790"/>
      <c r="H211" s="1790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s="876" customFormat="1" ht="12.75" thickBot="1">
      <c r="A212" s="875" t="s">
        <v>282</v>
      </c>
      <c r="E212" s="877"/>
      <c r="F212" s="877"/>
      <c r="G212" s="877"/>
      <c r="H212" s="1653" t="s">
        <v>281</v>
      </c>
      <c r="J212" s="3"/>
      <c r="K212" s="36"/>
      <c r="L212" s="36"/>
      <c r="M212" s="36"/>
      <c r="N212" s="36"/>
    </row>
    <row r="213" spans="1:29" s="119" customFormat="1" ht="12.75" thickBot="1">
      <c r="A213" s="884" t="s">
        <v>4</v>
      </c>
      <c r="B213" s="905" t="s">
        <v>318</v>
      </c>
      <c r="C213" s="1035">
        <f t="shared" ref="C213:G213" si="43">+C214+C215</f>
        <v>1841275</v>
      </c>
      <c r="D213" s="112">
        <f t="shared" si="43"/>
        <v>904444</v>
      </c>
      <c r="E213" s="1222">
        <f t="shared" si="43"/>
        <v>-2722100</v>
      </c>
      <c r="F213" s="1119">
        <f t="shared" si="43"/>
        <v>-3104656</v>
      </c>
      <c r="G213" s="1119">
        <f t="shared" si="43"/>
        <v>226072</v>
      </c>
      <c r="H213" s="1558">
        <f>IF(ISERROR(G213/F213),"-",G213/F213)</f>
        <v>-7.2817085049036029E-2</v>
      </c>
      <c r="J213" s="3"/>
      <c r="K213" s="3"/>
      <c r="L213" s="3"/>
      <c r="M213" s="3"/>
      <c r="N213" s="3"/>
    </row>
    <row r="214" spans="1:29">
      <c r="A214" s="892" t="s">
        <v>81</v>
      </c>
      <c r="B214" s="931" t="s">
        <v>319</v>
      </c>
      <c r="C214" s="1036">
        <f t="shared" ref="C214:G214" si="44">+C10-C109</f>
        <v>214867</v>
      </c>
      <c r="D214" s="116">
        <f t="shared" si="44"/>
        <v>269938</v>
      </c>
      <c r="E214" s="1223">
        <f t="shared" si="44"/>
        <v>-2625375</v>
      </c>
      <c r="F214" s="1120">
        <f t="shared" si="44"/>
        <v>-2980595</v>
      </c>
      <c r="G214" s="1120">
        <f t="shared" si="44"/>
        <v>74334</v>
      </c>
      <c r="H214" s="1560">
        <f>IF(ISERROR(G214/F214),"-",G214/F214)</f>
        <v>-2.4939315807749794E-2</v>
      </c>
      <c r="J214" s="3"/>
    </row>
    <row r="215" spans="1:29" ht="12.75" thickBot="1">
      <c r="A215" s="932" t="s">
        <v>82</v>
      </c>
      <c r="B215" s="933" t="s">
        <v>320</v>
      </c>
      <c r="C215" s="1045">
        <f t="shared" ref="C215:G215" si="45">+C50-C149</f>
        <v>1626408</v>
      </c>
      <c r="D215" s="930">
        <f t="shared" si="45"/>
        <v>634506</v>
      </c>
      <c r="E215" s="1233">
        <f t="shared" si="45"/>
        <v>-96725</v>
      </c>
      <c r="F215" s="1127">
        <f t="shared" si="45"/>
        <v>-124061</v>
      </c>
      <c r="G215" s="1127">
        <f t="shared" si="45"/>
        <v>151738</v>
      </c>
      <c r="H215" s="1566">
        <f>IF(ISERROR(G215/F215),"-",G215/F215)</f>
        <v>-1.2230918660981291</v>
      </c>
      <c r="J215" s="3"/>
    </row>
    <row r="216" spans="1:29">
      <c r="J216" s="3"/>
    </row>
    <row r="217" spans="1:29">
      <c r="J217" s="3"/>
    </row>
    <row r="218" spans="1:29" s="1" customFormat="1" ht="15.75">
      <c r="A218" s="1790" t="s">
        <v>90</v>
      </c>
      <c r="B218" s="1790"/>
      <c r="C218" s="1790"/>
      <c r="D218" s="1790"/>
      <c r="E218" s="1790"/>
      <c r="F218" s="1790"/>
      <c r="G218" s="1790"/>
      <c r="H218" s="1790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s="876" customFormat="1" ht="12.75" thickBot="1">
      <c r="A219" s="875" t="s">
        <v>283</v>
      </c>
      <c r="E219" s="877"/>
      <c r="F219" s="877"/>
      <c r="G219" s="877"/>
      <c r="H219" s="1653" t="s">
        <v>281</v>
      </c>
      <c r="J219" s="3"/>
      <c r="K219" s="36"/>
      <c r="L219" s="36"/>
      <c r="M219" s="36"/>
      <c r="N219" s="36"/>
    </row>
    <row r="220" spans="1:29" s="119" customFormat="1" ht="12.75" thickBot="1">
      <c r="A220" s="884" t="s">
        <v>4</v>
      </c>
      <c r="B220" s="905" t="s">
        <v>321</v>
      </c>
      <c r="C220" s="1035">
        <f t="shared" ref="C220:G220" si="46">+C221+C228</f>
        <v>353837</v>
      </c>
      <c r="D220" s="112">
        <f t="shared" si="46"/>
        <v>2196437</v>
      </c>
      <c r="E220" s="1222">
        <f t="shared" si="46"/>
        <v>2722100</v>
      </c>
      <c r="F220" s="1119">
        <f t="shared" si="46"/>
        <v>3104656</v>
      </c>
      <c r="G220" s="1119">
        <f t="shared" si="46"/>
        <v>3104656</v>
      </c>
      <c r="H220" s="1558">
        <f t="shared" ref="H220:H234" si="47">IF(ISERROR(G220/F220),"-",G220/F220)</f>
        <v>1</v>
      </c>
      <c r="J220" s="3"/>
      <c r="K220" s="3"/>
      <c r="L220" s="3"/>
      <c r="M220" s="3"/>
      <c r="N220" s="3"/>
    </row>
    <row r="221" spans="1:29" s="119" customFormat="1" ht="12.75" thickBot="1">
      <c r="A221" s="884" t="s">
        <v>5</v>
      </c>
      <c r="B221" s="891" t="s">
        <v>322</v>
      </c>
      <c r="C221" s="1035">
        <f t="shared" ref="C221:G221" si="48">+C222-C225</f>
        <v>122457</v>
      </c>
      <c r="D221" s="112">
        <f t="shared" si="48"/>
        <v>338649</v>
      </c>
      <c r="E221" s="1222">
        <f t="shared" si="48"/>
        <v>2712101</v>
      </c>
      <c r="F221" s="1119">
        <f t="shared" si="48"/>
        <v>612362</v>
      </c>
      <c r="G221" s="1119">
        <f t="shared" si="48"/>
        <v>612362</v>
      </c>
      <c r="H221" s="1558">
        <f t="shared" si="47"/>
        <v>1</v>
      </c>
      <c r="J221" s="3"/>
      <c r="K221" s="3"/>
      <c r="L221" s="3"/>
      <c r="M221" s="3"/>
      <c r="N221" s="3"/>
    </row>
    <row r="222" spans="1:29">
      <c r="A222" s="892" t="s">
        <v>54</v>
      </c>
      <c r="B222" s="113" t="s">
        <v>323</v>
      </c>
      <c r="C222" s="1036">
        <f t="shared" ref="C222:G222" si="49">+C223+C224</f>
        <v>760963</v>
      </c>
      <c r="D222" s="116">
        <f t="shared" si="49"/>
        <v>449560</v>
      </c>
      <c r="E222" s="1223">
        <f t="shared" si="49"/>
        <v>2738772</v>
      </c>
      <c r="F222" s="1120">
        <f t="shared" si="49"/>
        <v>704310</v>
      </c>
      <c r="G222" s="1120">
        <f t="shared" si="49"/>
        <v>704310</v>
      </c>
      <c r="H222" s="1560">
        <f t="shared" si="47"/>
        <v>1</v>
      </c>
      <c r="J222" s="3"/>
    </row>
    <row r="223" spans="1:29" s="117" customFormat="1">
      <c r="A223" s="108" t="s">
        <v>190</v>
      </c>
      <c r="B223" s="109" t="s">
        <v>285</v>
      </c>
      <c r="C223" s="1037">
        <f t="shared" ref="C223:G223" si="50">+C76+C80</f>
        <v>122223</v>
      </c>
      <c r="D223" s="658">
        <f t="shared" si="50"/>
        <v>337324</v>
      </c>
      <c r="E223" s="1224">
        <f t="shared" si="50"/>
        <v>2738772</v>
      </c>
      <c r="F223" s="1121">
        <f t="shared" si="50"/>
        <v>608587</v>
      </c>
      <c r="G223" s="1121">
        <f t="shared" si="50"/>
        <v>608587</v>
      </c>
      <c r="H223" s="1562">
        <f t="shared" si="47"/>
        <v>1</v>
      </c>
      <c r="J223" s="3"/>
      <c r="K223" s="13"/>
      <c r="L223" s="13"/>
      <c r="M223" s="13"/>
      <c r="N223" s="13"/>
    </row>
    <row r="224" spans="1:29" s="117" customFormat="1">
      <c r="A224" s="108" t="s">
        <v>191</v>
      </c>
      <c r="B224" s="109" t="s">
        <v>286</v>
      </c>
      <c r="C224" s="1037">
        <f t="shared" ref="C224:G224" si="51">+C74+C75+C77+C78+C79+C81</f>
        <v>638740</v>
      </c>
      <c r="D224" s="658">
        <f t="shared" si="51"/>
        <v>112236</v>
      </c>
      <c r="E224" s="1224">
        <f t="shared" si="51"/>
        <v>0</v>
      </c>
      <c r="F224" s="1121">
        <f t="shared" si="51"/>
        <v>95723</v>
      </c>
      <c r="G224" s="1121">
        <f t="shared" si="51"/>
        <v>95723</v>
      </c>
      <c r="H224" s="1562">
        <f t="shared" si="47"/>
        <v>1</v>
      </c>
      <c r="J224" s="3"/>
      <c r="K224" s="13"/>
      <c r="L224" s="13"/>
      <c r="M224" s="13"/>
      <c r="N224" s="13"/>
    </row>
    <row r="225" spans="1:29">
      <c r="A225" s="896" t="s">
        <v>55</v>
      </c>
      <c r="B225" s="897" t="s">
        <v>324</v>
      </c>
      <c r="C225" s="1038">
        <f t="shared" ref="C225:G225" si="52">+C227</f>
        <v>638506</v>
      </c>
      <c r="D225" s="868">
        <f t="shared" si="52"/>
        <v>110911</v>
      </c>
      <c r="E225" s="1225">
        <f t="shared" si="52"/>
        <v>26671</v>
      </c>
      <c r="F225" s="1122">
        <f t="shared" si="52"/>
        <v>91948</v>
      </c>
      <c r="G225" s="1122">
        <f t="shared" si="52"/>
        <v>91948</v>
      </c>
      <c r="H225" s="1562">
        <f t="shared" si="47"/>
        <v>1</v>
      </c>
      <c r="J225" s="3"/>
    </row>
    <row r="226" spans="1:29" s="117" customFormat="1">
      <c r="A226" s="108" t="s">
        <v>56</v>
      </c>
      <c r="B226" s="109" t="s">
        <v>287</v>
      </c>
      <c r="C226" s="1037">
        <f t="shared" ref="C226:G226" si="53">+C185</f>
        <v>0</v>
      </c>
      <c r="D226" s="658">
        <f t="shared" si="53"/>
        <v>0</v>
      </c>
      <c r="E226" s="1224">
        <f t="shared" si="53"/>
        <v>0</v>
      </c>
      <c r="F226" s="1121">
        <f t="shared" si="53"/>
        <v>0</v>
      </c>
      <c r="G226" s="1121">
        <f t="shared" si="53"/>
        <v>0</v>
      </c>
      <c r="H226" s="1562" t="str">
        <f t="shared" si="47"/>
        <v>-</v>
      </c>
      <c r="J226" s="3"/>
      <c r="K226" s="13"/>
      <c r="L226" s="13"/>
      <c r="M226" s="13"/>
      <c r="N226" s="13"/>
    </row>
    <row r="227" spans="1:29" s="117" customFormat="1" ht="12.75" thickBot="1">
      <c r="A227" s="900" t="s">
        <v>57</v>
      </c>
      <c r="B227" s="922" t="s">
        <v>288</v>
      </c>
      <c r="C227" s="1022">
        <f t="shared" ref="C227:G227" si="54">+C180+C181+C182+C183+C184+C186+C187</f>
        <v>638506</v>
      </c>
      <c r="D227" s="904">
        <f t="shared" si="54"/>
        <v>110911</v>
      </c>
      <c r="E227" s="1227">
        <f t="shared" si="54"/>
        <v>26671</v>
      </c>
      <c r="F227" s="1124">
        <f t="shared" si="54"/>
        <v>91948</v>
      </c>
      <c r="G227" s="1124">
        <f t="shared" si="54"/>
        <v>91948</v>
      </c>
      <c r="H227" s="1561">
        <f t="shared" si="47"/>
        <v>1</v>
      </c>
      <c r="J227" s="3"/>
      <c r="K227" s="13"/>
      <c r="L227" s="13"/>
      <c r="M227" s="13"/>
      <c r="N227" s="13"/>
    </row>
    <row r="228" spans="1:29" s="119" customFormat="1" ht="12.75" thickBot="1">
      <c r="A228" s="884" t="s">
        <v>6</v>
      </c>
      <c r="B228" s="891" t="s">
        <v>325</v>
      </c>
      <c r="C228" s="1035">
        <f t="shared" ref="C228:G228" si="55">+C229-C232</f>
        <v>231380</v>
      </c>
      <c r="D228" s="112">
        <f t="shared" si="55"/>
        <v>1857788</v>
      </c>
      <c r="E228" s="1222">
        <f t="shared" si="55"/>
        <v>9999</v>
      </c>
      <c r="F228" s="1119">
        <f t="shared" si="55"/>
        <v>2492294</v>
      </c>
      <c r="G228" s="1119">
        <f t="shared" si="55"/>
        <v>2492294</v>
      </c>
      <c r="H228" s="1558">
        <f t="shared" si="47"/>
        <v>1</v>
      </c>
      <c r="J228" s="3"/>
      <c r="K228" s="3"/>
      <c r="L228" s="3"/>
      <c r="M228" s="3"/>
      <c r="N228" s="3"/>
    </row>
    <row r="229" spans="1:29">
      <c r="A229" s="892" t="s">
        <v>58</v>
      </c>
      <c r="B229" s="113" t="s">
        <v>326</v>
      </c>
      <c r="C229" s="1036">
        <f t="shared" ref="C229:G229" si="56">+C230+C231</f>
        <v>241350</v>
      </c>
      <c r="D229" s="116">
        <f t="shared" si="56"/>
        <v>1857788</v>
      </c>
      <c r="E229" s="1223">
        <f t="shared" si="56"/>
        <v>9999</v>
      </c>
      <c r="F229" s="1120">
        <f t="shared" si="56"/>
        <v>2492294</v>
      </c>
      <c r="G229" s="1120">
        <f t="shared" si="56"/>
        <v>2492294</v>
      </c>
      <c r="H229" s="1560">
        <f t="shared" si="47"/>
        <v>1</v>
      </c>
      <c r="J229" s="3"/>
    </row>
    <row r="230" spans="1:29" s="117" customFormat="1">
      <c r="A230" s="108" t="s">
        <v>293</v>
      </c>
      <c r="B230" s="109" t="s">
        <v>291</v>
      </c>
      <c r="C230" s="1037">
        <f t="shared" ref="C230:G230" si="57">+C91+C95</f>
        <v>241350</v>
      </c>
      <c r="D230" s="658">
        <f t="shared" si="57"/>
        <v>1857788</v>
      </c>
      <c r="E230" s="1224">
        <f t="shared" si="57"/>
        <v>0</v>
      </c>
      <c r="F230" s="1121">
        <f t="shared" si="57"/>
        <v>2492294</v>
      </c>
      <c r="G230" s="1121">
        <f t="shared" si="57"/>
        <v>2492294</v>
      </c>
      <c r="H230" s="1562">
        <f t="shared" si="47"/>
        <v>1</v>
      </c>
      <c r="J230" s="3"/>
      <c r="K230" s="13"/>
      <c r="L230" s="13"/>
      <c r="M230" s="13"/>
      <c r="N230" s="13"/>
    </row>
    <row r="231" spans="1:29" s="117" customFormat="1">
      <c r="A231" s="108" t="s">
        <v>294</v>
      </c>
      <c r="B231" s="109" t="s">
        <v>292</v>
      </c>
      <c r="C231" s="1037">
        <f t="shared" ref="C231:G231" si="58">+C89+C90+C92+C93+C94+C96</f>
        <v>0</v>
      </c>
      <c r="D231" s="658">
        <f t="shared" si="58"/>
        <v>0</v>
      </c>
      <c r="E231" s="1224">
        <f t="shared" si="58"/>
        <v>9999</v>
      </c>
      <c r="F231" s="1121">
        <f t="shared" si="58"/>
        <v>0</v>
      </c>
      <c r="G231" s="1121">
        <f t="shared" si="58"/>
        <v>0</v>
      </c>
      <c r="H231" s="1562" t="str">
        <f t="shared" si="47"/>
        <v>-</v>
      </c>
      <c r="J231" s="3"/>
      <c r="K231" s="13"/>
      <c r="L231" s="13"/>
      <c r="M231" s="13"/>
      <c r="N231" s="13"/>
    </row>
    <row r="232" spans="1:29">
      <c r="A232" s="896" t="s">
        <v>59</v>
      </c>
      <c r="B232" s="897" t="s">
        <v>327</v>
      </c>
      <c r="C232" s="1038">
        <f t="shared" ref="C232:G232" si="59">+C233+C234</f>
        <v>9970</v>
      </c>
      <c r="D232" s="868">
        <f t="shared" si="59"/>
        <v>0</v>
      </c>
      <c r="E232" s="1225">
        <f t="shared" si="59"/>
        <v>0</v>
      </c>
      <c r="F232" s="1122">
        <f t="shared" si="59"/>
        <v>0</v>
      </c>
      <c r="G232" s="1122">
        <f t="shared" si="59"/>
        <v>0</v>
      </c>
      <c r="H232" s="1562" t="str">
        <f t="shared" si="47"/>
        <v>-</v>
      </c>
      <c r="J232" s="3"/>
    </row>
    <row r="233" spans="1:29" s="117" customFormat="1">
      <c r="A233" s="108" t="s">
        <v>295</v>
      </c>
      <c r="B233" s="109" t="s">
        <v>289</v>
      </c>
      <c r="C233" s="1037">
        <f t="shared" ref="C233:G233" si="60">+C200</f>
        <v>0</v>
      </c>
      <c r="D233" s="658">
        <f t="shared" si="60"/>
        <v>0</v>
      </c>
      <c r="E233" s="1224">
        <f t="shared" si="60"/>
        <v>0</v>
      </c>
      <c r="F233" s="1121">
        <f t="shared" si="60"/>
        <v>0</v>
      </c>
      <c r="G233" s="1121">
        <f t="shared" si="60"/>
        <v>0</v>
      </c>
      <c r="H233" s="1562" t="str">
        <f t="shared" si="47"/>
        <v>-</v>
      </c>
      <c r="J233" s="3"/>
      <c r="K233" s="13"/>
      <c r="L233" s="13"/>
      <c r="M233" s="13"/>
      <c r="N233" s="13"/>
    </row>
    <row r="234" spans="1:29" s="117" customFormat="1" ht="12.75" thickBot="1">
      <c r="A234" s="935" t="s">
        <v>296</v>
      </c>
      <c r="B234" s="936" t="s">
        <v>290</v>
      </c>
      <c r="C234" s="1046">
        <f t="shared" ref="C234:G234" si="61">+C195+C196+C197+C198+C199+C201+C202</f>
        <v>9970</v>
      </c>
      <c r="D234" s="939">
        <f t="shared" si="61"/>
        <v>0</v>
      </c>
      <c r="E234" s="1234">
        <f t="shared" si="61"/>
        <v>0</v>
      </c>
      <c r="F234" s="1128">
        <f t="shared" si="61"/>
        <v>0</v>
      </c>
      <c r="G234" s="1128">
        <f t="shared" si="61"/>
        <v>0</v>
      </c>
      <c r="H234" s="1566" t="str">
        <f t="shared" si="47"/>
        <v>-</v>
      </c>
      <c r="J234" s="3"/>
      <c r="K234" s="13"/>
      <c r="L234" s="13"/>
      <c r="M234" s="13"/>
      <c r="N234" s="13"/>
    </row>
    <row r="235" spans="1:29">
      <c r="J235" s="3"/>
    </row>
    <row r="236" spans="1:29">
      <c r="J236" s="3"/>
    </row>
    <row r="237" spans="1:29" s="1" customFormat="1" ht="15.75">
      <c r="A237" s="1790" t="s">
        <v>1307</v>
      </c>
      <c r="B237" s="1790"/>
      <c r="C237" s="1790"/>
      <c r="D237" s="1790"/>
      <c r="E237" s="1790"/>
      <c r="F237" s="1790"/>
      <c r="G237" s="1790"/>
      <c r="H237" s="1790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s="876" customFormat="1" ht="12.75" thickBot="1">
      <c r="A238" s="875" t="s">
        <v>284</v>
      </c>
      <c r="E238" s="877"/>
      <c r="F238" s="877"/>
      <c r="G238" s="877"/>
      <c r="H238" s="1548"/>
      <c r="J238" s="3"/>
      <c r="K238" s="36"/>
      <c r="L238" s="36"/>
      <c r="M238" s="36"/>
      <c r="N238" s="36"/>
    </row>
    <row r="239" spans="1:29" s="119" customFormat="1">
      <c r="A239" s="940" t="s">
        <v>4</v>
      </c>
      <c r="B239" s="941" t="s">
        <v>91</v>
      </c>
      <c r="C239" s="1025">
        <v>201</v>
      </c>
      <c r="D239" s="944">
        <v>214</v>
      </c>
      <c r="E239" s="1235">
        <f>+'1.mell._Össz_Mérleg2019'!C239</f>
        <v>187</v>
      </c>
      <c r="F239" s="1129">
        <f>+'1.mell._Össz_Mérleg2019'!D239</f>
        <v>269</v>
      </c>
      <c r="G239" s="1129">
        <f>+'1.mell._Össz_Mérleg2019'!E239</f>
        <v>231</v>
      </c>
      <c r="H239" s="1559">
        <f>IF(ISERROR(G239/F239),"-",G239/F239)</f>
        <v>0.85873605947955389</v>
      </c>
      <c r="J239" s="3"/>
      <c r="K239" s="3"/>
      <c r="L239" s="3"/>
      <c r="M239" s="3"/>
      <c r="N239" s="3"/>
    </row>
    <row r="240" spans="1:29" s="117" customFormat="1">
      <c r="A240" s="900" t="s">
        <v>351</v>
      </c>
      <c r="B240" s="945" t="s">
        <v>352</v>
      </c>
      <c r="C240" s="1026"/>
      <c r="D240" s="948">
        <v>19</v>
      </c>
      <c r="E240" s="1236">
        <f>+'1.mell._Össz_Mérleg2019'!C240</f>
        <v>0</v>
      </c>
      <c r="F240" s="1130">
        <f>+'1.mell._Össz_Mérleg2019'!D240</f>
        <v>27</v>
      </c>
      <c r="G240" s="1130">
        <f>+'1.mell._Össz_Mérleg2019'!E240</f>
        <v>27</v>
      </c>
      <c r="H240" s="1561">
        <f>IF(ISERROR(G240/F240),"-",G240/F240)</f>
        <v>1</v>
      </c>
      <c r="J240" s="3"/>
      <c r="K240" s="13"/>
      <c r="L240" s="13"/>
      <c r="M240" s="13"/>
      <c r="N240" s="13"/>
    </row>
    <row r="241" spans="1:14" s="119" customFormat="1" ht="12.75" thickBot="1">
      <c r="A241" s="949" t="s">
        <v>5</v>
      </c>
      <c r="B241" s="950" t="s">
        <v>92</v>
      </c>
      <c r="C241" s="1027">
        <v>218</v>
      </c>
      <c r="D241" s="953">
        <v>164</v>
      </c>
      <c r="E241" s="1237">
        <f>+'1.mell._Össz_Mérleg2019'!C241</f>
        <v>121</v>
      </c>
      <c r="F241" s="1131">
        <f>+'1.mell._Össz_Mérleg2019'!D241</f>
        <v>157</v>
      </c>
      <c r="G241" s="1131">
        <f>+'1.mell._Össz_Mérleg2019'!E241</f>
        <v>121</v>
      </c>
      <c r="H241" s="1567">
        <f>IF(ISERROR(G241/F241),"-",G241/F241)</f>
        <v>0.77070063694267521</v>
      </c>
      <c r="J241" s="3"/>
      <c r="K241" s="3"/>
      <c r="L241" s="3"/>
      <c r="M241" s="3"/>
      <c r="N241" s="3"/>
    </row>
    <row r="242" spans="1:14" s="119" customFormat="1" ht="12.75" thickBot="1">
      <c r="A242" s="884" t="s">
        <v>6</v>
      </c>
      <c r="B242" s="905" t="s">
        <v>330</v>
      </c>
      <c r="C242" s="1028">
        <v>419</v>
      </c>
      <c r="D242" s="956">
        <f>+D239+D241</f>
        <v>378</v>
      </c>
      <c r="E242" s="1238">
        <f>+E239+E241</f>
        <v>308</v>
      </c>
      <c r="F242" s="1132">
        <f>+F239+F241</f>
        <v>426</v>
      </c>
      <c r="G242" s="1132">
        <f>+G239+G241</f>
        <v>352</v>
      </c>
      <c r="H242" s="1558">
        <f>IF(ISERROR(G242/F242),"-",G242/F242)</f>
        <v>0.82629107981220662</v>
      </c>
      <c r="J242" s="3"/>
      <c r="K242" s="3"/>
      <c r="L242" s="3"/>
      <c r="M242" s="3"/>
      <c r="N242" s="3"/>
    </row>
    <row r="243" spans="1:14">
      <c r="J243" s="3"/>
    </row>
    <row r="244" spans="1:14" hidden="1">
      <c r="C244" s="118">
        <f t="shared" ref="C244:G244" si="62">+C214+C221</f>
        <v>337324</v>
      </c>
      <c r="D244" s="118">
        <f t="shared" si="62"/>
        <v>608587</v>
      </c>
      <c r="E244" s="118">
        <f t="shared" si="62"/>
        <v>86726</v>
      </c>
      <c r="F244" s="118">
        <f t="shared" si="62"/>
        <v>-2368233</v>
      </c>
      <c r="G244" s="118">
        <f t="shared" si="62"/>
        <v>686696</v>
      </c>
      <c r="J244" s="4">
        <f>+C214+C221</f>
        <v>337324</v>
      </c>
      <c r="K244" s="4">
        <f>+D214+D221</f>
        <v>608587</v>
      </c>
      <c r="L244" s="4">
        <f>+E214+E221</f>
        <v>86726</v>
      </c>
    </row>
    <row r="245" spans="1:14" hidden="1">
      <c r="C245" s="118">
        <f t="shared" ref="C245:G245" si="63">+C215+C228</f>
        <v>1857788</v>
      </c>
      <c r="D245" s="118">
        <f t="shared" si="63"/>
        <v>2492294</v>
      </c>
      <c r="E245" s="118">
        <f t="shared" si="63"/>
        <v>-86726</v>
      </c>
      <c r="F245" s="118">
        <f t="shared" si="63"/>
        <v>2368233</v>
      </c>
      <c r="G245" s="118">
        <f t="shared" si="63"/>
        <v>2644032</v>
      </c>
      <c r="J245" s="4">
        <f>+C215+C228</f>
        <v>1857788</v>
      </c>
      <c r="K245" s="4">
        <f>+D215+D228</f>
        <v>2492294</v>
      </c>
      <c r="L245" s="4">
        <f>+E215+E228</f>
        <v>-86726</v>
      </c>
    </row>
    <row r="246" spans="1:14">
      <c r="J246" s="3"/>
    </row>
    <row r="247" spans="1:14">
      <c r="J247" s="3"/>
    </row>
    <row r="248" spans="1:14">
      <c r="J248" s="3"/>
    </row>
    <row r="249" spans="1:14">
      <c r="J249" s="3"/>
    </row>
    <row r="250" spans="1:14">
      <c r="J250" s="3"/>
    </row>
    <row r="251" spans="1:14">
      <c r="J251" s="3"/>
    </row>
    <row r="252" spans="1:14">
      <c r="J252" s="3"/>
    </row>
    <row r="253" spans="1:14">
      <c r="J253" s="3"/>
    </row>
    <row r="254" spans="1:14">
      <c r="J254" s="3"/>
    </row>
    <row r="255" spans="1:14">
      <c r="J255" s="3"/>
    </row>
    <row r="256" spans="1:14">
      <c r="J256" s="3"/>
    </row>
    <row r="257" spans="10:10">
      <c r="J257" s="3"/>
    </row>
    <row r="258" spans="10:10">
      <c r="J258" s="3"/>
    </row>
    <row r="259" spans="10:10">
      <c r="J259" s="3"/>
    </row>
    <row r="260" spans="10:10">
      <c r="J260" s="3"/>
    </row>
    <row r="261" spans="10:10">
      <c r="J261" s="3"/>
    </row>
    <row r="262" spans="10:10">
      <c r="J262" s="3"/>
    </row>
    <row r="263" spans="10:10">
      <c r="J263" s="3"/>
    </row>
    <row r="264" spans="10:10">
      <c r="J264" s="3"/>
    </row>
  </sheetData>
  <mergeCells count="10">
    <mergeCell ref="A211:H211"/>
    <mergeCell ref="A218:H218"/>
    <mergeCell ref="A237:H237"/>
    <mergeCell ref="A5:H5"/>
    <mergeCell ref="A3:H3"/>
    <mergeCell ref="A4:H4"/>
    <mergeCell ref="A6:H6"/>
    <mergeCell ref="A105:H105"/>
    <mergeCell ref="E9:H9"/>
    <mergeCell ref="E108:H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6" orientation="portrait" r:id="rId1"/>
  <headerFooter>
    <oddHeader>&amp;C 9. melléklet - &amp;P. oldal</oddHeader>
  </headerFooter>
  <rowBreaks count="1" manualBreakCount="1">
    <brk id="104" max="5" man="1"/>
  </rowBreaks>
  <colBreaks count="1" manualBreakCount="1">
    <brk id="8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>
  <sheetPr codeName="Munka23">
    <tabColor rgb="FF00B0F0"/>
  </sheetPr>
  <dimension ref="A1:M137"/>
  <sheetViews>
    <sheetView zoomScaleNormal="100" workbookViewId="0"/>
  </sheetViews>
  <sheetFormatPr defaultColWidth="9.140625" defaultRowHeight="12"/>
  <cols>
    <col min="1" max="1" width="6.28515625" style="544" customWidth="1"/>
    <col min="2" max="2" width="3.85546875" style="751" hidden="1" customWidth="1"/>
    <col min="3" max="3" width="87.85546875" style="380" customWidth="1"/>
    <col min="4" max="6" width="13.28515625" style="380" customWidth="1"/>
    <col min="7" max="7" width="13.28515625" style="1680" customWidth="1"/>
    <col min="8" max="8" width="9" style="380" customWidth="1"/>
    <col min="9" max="12" width="9" style="380" hidden="1" customWidth="1"/>
    <col min="13" max="13" width="9" style="380" customWidth="1"/>
    <col min="14" max="25" width="11.42578125" style="380" customWidth="1"/>
    <col min="26" max="16384" width="9.140625" style="380"/>
  </cols>
  <sheetData>
    <row r="1" spans="1:7" s="541" customFormat="1" ht="15.75">
      <c r="A1" s="539"/>
      <c r="B1" s="744"/>
      <c r="C1" s="540"/>
      <c r="D1" s="153"/>
      <c r="E1" s="153"/>
      <c r="F1" s="153"/>
      <c r="G1" s="1675" t="s">
        <v>480</v>
      </c>
    </row>
    <row r="2" spans="1:7" s="541" customFormat="1" ht="15.75">
      <c r="A2" s="539"/>
      <c r="B2" s="744"/>
      <c r="C2" s="540"/>
      <c r="D2" s="369"/>
      <c r="E2" s="369"/>
      <c r="F2" s="369"/>
      <c r="G2" s="1678"/>
    </row>
    <row r="3" spans="1:7" s="541" customFormat="1" ht="15.75">
      <c r="A3" s="1872" t="s">
        <v>1318</v>
      </c>
      <c r="B3" s="1872"/>
      <c r="C3" s="1872"/>
      <c r="D3" s="1872"/>
      <c r="E3" s="1872"/>
      <c r="F3" s="1872"/>
      <c r="G3" s="1872"/>
    </row>
    <row r="4" spans="1:7">
      <c r="A4" s="542"/>
      <c r="B4" s="745"/>
      <c r="C4" s="363"/>
      <c r="D4" s="363"/>
      <c r="E4" s="363"/>
      <c r="F4" s="363"/>
      <c r="G4" s="1676"/>
    </row>
    <row r="5" spans="1:7" ht="12.75" thickBot="1">
      <c r="A5" s="542"/>
      <c r="B5" s="745"/>
      <c r="C5" s="364"/>
      <c r="D5" s="316"/>
      <c r="E5" s="316"/>
      <c r="F5" s="316"/>
      <c r="G5" s="1677" t="s">
        <v>561</v>
      </c>
    </row>
    <row r="6" spans="1:7" ht="36.75" thickBot="1">
      <c r="A6" s="361" t="s">
        <v>17</v>
      </c>
      <c r="B6" s="743" t="s">
        <v>1051</v>
      </c>
      <c r="C6" s="360" t="s">
        <v>543</v>
      </c>
      <c r="D6" s="1101" t="s">
        <v>1553</v>
      </c>
      <c r="E6" s="6" t="s">
        <v>1554</v>
      </c>
      <c r="F6" s="6" t="s">
        <v>2646</v>
      </c>
      <c r="G6" s="1549" t="s">
        <v>2645</v>
      </c>
    </row>
    <row r="7" spans="1:7" ht="13.5" customHeight="1" thickBot="1">
      <c r="A7" s="365" t="s">
        <v>544</v>
      </c>
      <c r="B7" s="740"/>
      <c r="C7" s="1772">
        <v>2</v>
      </c>
      <c r="D7" s="1876">
        <v>3</v>
      </c>
      <c r="E7" s="1877"/>
      <c r="F7" s="1877"/>
      <c r="G7" s="1878"/>
    </row>
    <row r="8" spans="1:7" ht="12.75" thickBot="1">
      <c r="A8" s="1873" t="s">
        <v>594</v>
      </c>
      <c r="B8" s="1874"/>
      <c r="C8" s="1874"/>
      <c r="D8" s="1874"/>
      <c r="E8" s="1874"/>
      <c r="F8" s="1874"/>
      <c r="G8" s="1875"/>
    </row>
    <row r="9" spans="1:7">
      <c r="A9" s="1252" t="s">
        <v>4</v>
      </c>
      <c r="B9" s="741"/>
      <c r="C9" s="1253" t="s">
        <v>562</v>
      </c>
      <c r="D9" s="1250">
        <f>+D10+D11+D17+D18+D19</f>
        <v>219938143</v>
      </c>
      <c r="E9" s="1250">
        <f t="shared" ref="E9:F9" si="0">+E10+E11+E17+E18+E19</f>
        <v>224081143</v>
      </c>
      <c r="F9" s="1250">
        <f t="shared" si="0"/>
        <v>224081143</v>
      </c>
      <c r="G9" s="1665">
        <f t="shared" ref="G9:G72" si="1">IF(ISERROR(F9/E9),"-",F9/E9)</f>
        <v>1</v>
      </c>
    </row>
    <row r="10" spans="1:7">
      <c r="A10" s="310" t="s">
        <v>563</v>
      </c>
      <c r="B10" s="739">
        <v>12</v>
      </c>
      <c r="C10" s="373" t="s">
        <v>1123</v>
      </c>
      <c r="D10" s="1244">
        <f>ROUND(31.87*4580000,0)</f>
        <v>145964600</v>
      </c>
      <c r="E10" s="1244">
        <f>145964600+4143000</f>
        <v>150107600</v>
      </c>
      <c r="F10" s="1244">
        <f>145964600+4143000</f>
        <v>150107600</v>
      </c>
      <c r="G10" s="1665">
        <f t="shared" si="1"/>
        <v>1</v>
      </c>
    </row>
    <row r="11" spans="1:7">
      <c r="A11" s="310" t="s">
        <v>564</v>
      </c>
      <c r="B11" s="739"/>
      <c r="C11" s="373" t="s">
        <v>1124</v>
      </c>
      <c r="D11" s="1244">
        <f>+D12+D13+D14+D15</f>
        <v>58487570</v>
      </c>
      <c r="E11" s="1244">
        <v>58487570</v>
      </c>
      <c r="F11" s="1244">
        <v>58487570</v>
      </c>
      <c r="G11" s="1665">
        <f t="shared" si="1"/>
        <v>1</v>
      </c>
    </row>
    <row r="12" spans="1:7" s="543" customFormat="1">
      <c r="A12" s="366" t="s">
        <v>565</v>
      </c>
      <c r="B12" s="746">
        <v>4</v>
      </c>
      <c r="C12" s="372" t="s">
        <v>545</v>
      </c>
      <c r="D12" s="1245">
        <v>13509340</v>
      </c>
      <c r="E12" s="1245">
        <v>13509340</v>
      </c>
      <c r="F12" s="1245">
        <v>13509340</v>
      </c>
      <c r="G12" s="1665">
        <f t="shared" si="1"/>
        <v>1</v>
      </c>
    </row>
    <row r="13" spans="1:7" s="543" customFormat="1">
      <c r="A13" s="366" t="s">
        <v>566</v>
      </c>
      <c r="B13" s="746">
        <v>3</v>
      </c>
      <c r="C13" s="372" t="s">
        <v>546</v>
      </c>
      <c r="D13" s="1245">
        <v>26600000</v>
      </c>
      <c r="E13" s="1245">
        <v>26600000</v>
      </c>
      <c r="F13" s="1245">
        <v>26600000</v>
      </c>
      <c r="G13" s="1665">
        <f t="shared" si="1"/>
        <v>1</v>
      </c>
    </row>
    <row r="14" spans="1:7" s="543" customFormat="1">
      <c r="A14" s="366" t="s">
        <v>567</v>
      </c>
      <c r="B14" s="746">
        <v>2</v>
      </c>
      <c r="C14" s="372" t="s">
        <v>547</v>
      </c>
      <c r="D14" s="1245">
        <v>3460080</v>
      </c>
      <c r="E14" s="1245">
        <v>3460080</v>
      </c>
      <c r="F14" s="1245">
        <v>3460080</v>
      </c>
      <c r="G14" s="1665">
        <f t="shared" si="1"/>
        <v>1</v>
      </c>
    </row>
    <row r="15" spans="1:7" s="543" customFormat="1">
      <c r="A15" s="366" t="s">
        <v>568</v>
      </c>
      <c r="B15" s="746">
        <v>5</v>
      </c>
      <c r="C15" s="372" t="s">
        <v>548</v>
      </c>
      <c r="D15" s="1245">
        <v>14918150</v>
      </c>
      <c r="E15" s="1245">
        <v>14918150</v>
      </c>
      <c r="F15" s="1245">
        <v>14918150</v>
      </c>
      <c r="G15" s="1665">
        <f t="shared" si="1"/>
        <v>1</v>
      </c>
    </row>
    <row r="16" spans="1:7" s="543" customFormat="1">
      <c r="A16" s="366" t="s">
        <v>569</v>
      </c>
      <c r="B16" s="746"/>
      <c r="C16" s="762" t="s">
        <v>570</v>
      </c>
      <c r="D16" s="1244">
        <v>29008800</v>
      </c>
      <c r="E16" s="1244">
        <v>29008800</v>
      </c>
      <c r="F16" s="1244">
        <v>29008800</v>
      </c>
      <c r="G16" s="1665">
        <f t="shared" si="1"/>
        <v>1</v>
      </c>
    </row>
    <row r="17" spans="1:12" s="543" customFormat="1">
      <c r="A17" s="366"/>
      <c r="B17" s="746">
        <v>8</v>
      </c>
      <c r="C17" s="763" t="s">
        <v>998</v>
      </c>
      <c r="D17" s="1246">
        <f>+D16+D83</f>
        <v>14402323</v>
      </c>
      <c r="E17" s="1246">
        <f>+E16+E83</f>
        <v>14402323</v>
      </c>
      <c r="F17" s="1246">
        <f>+F16+F83</f>
        <v>14402323</v>
      </c>
      <c r="G17" s="1666">
        <f t="shared" si="1"/>
        <v>1</v>
      </c>
    </row>
    <row r="18" spans="1:12">
      <c r="A18" s="310" t="s">
        <v>571</v>
      </c>
      <c r="B18" s="739">
        <v>8</v>
      </c>
      <c r="C18" s="373" t="s">
        <v>26</v>
      </c>
      <c r="D18" s="1244">
        <v>966450</v>
      </c>
      <c r="E18" s="1244">
        <v>966450</v>
      </c>
      <c r="F18" s="1244">
        <v>966450</v>
      </c>
      <c r="G18" s="1665">
        <f t="shared" si="1"/>
        <v>1</v>
      </c>
    </row>
    <row r="19" spans="1:12">
      <c r="A19" s="310" t="s">
        <v>574</v>
      </c>
      <c r="B19" s="739">
        <v>8</v>
      </c>
      <c r="C19" s="373" t="s">
        <v>27</v>
      </c>
      <c r="D19" s="1244">
        <v>117200</v>
      </c>
      <c r="E19" s="1244">
        <v>117200</v>
      </c>
      <c r="F19" s="1244">
        <v>117200</v>
      </c>
      <c r="G19" s="1665">
        <f t="shared" si="1"/>
        <v>1</v>
      </c>
    </row>
    <row r="20" spans="1:12">
      <c r="A20" s="310" t="s">
        <v>5</v>
      </c>
      <c r="B20" s="739">
        <v>8</v>
      </c>
      <c r="C20" s="359" t="s">
        <v>572</v>
      </c>
      <c r="D20" s="1244"/>
      <c r="E20" s="1244"/>
      <c r="F20" s="1244"/>
      <c r="G20" s="1665" t="str">
        <f t="shared" si="1"/>
        <v>-</v>
      </c>
    </row>
    <row r="21" spans="1:12">
      <c r="A21" s="310" t="s">
        <v>6</v>
      </c>
      <c r="B21" s="739">
        <v>8</v>
      </c>
      <c r="C21" s="359" t="s">
        <v>989</v>
      </c>
      <c r="D21" s="1244"/>
      <c r="E21" s="1244"/>
      <c r="F21" s="1244"/>
      <c r="G21" s="1665" t="str">
        <f t="shared" si="1"/>
        <v>-</v>
      </c>
    </row>
    <row r="22" spans="1:12">
      <c r="A22" s="310" t="s">
        <v>3</v>
      </c>
      <c r="B22" s="739">
        <v>8</v>
      </c>
      <c r="C22" s="359" t="s">
        <v>988</v>
      </c>
      <c r="D22" s="1244"/>
      <c r="E22" s="1244"/>
      <c r="F22" s="1244"/>
      <c r="G22" s="1665" t="str">
        <f t="shared" si="1"/>
        <v>-</v>
      </c>
    </row>
    <row r="23" spans="1:12">
      <c r="A23" s="310" t="s">
        <v>16</v>
      </c>
      <c r="B23" s="752">
        <v>8</v>
      </c>
      <c r="C23" s="359" t="s">
        <v>1358</v>
      </c>
      <c r="D23" s="1244"/>
      <c r="E23" s="1244">
        <v>927220</v>
      </c>
      <c r="F23" s="1244">
        <v>927220</v>
      </c>
      <c r="G23" s="1665">
        <f t="shared" si="1"/>
        <v>1</v>
      </c>
    </row>
    <row r="24" spans="1:12" ht="12.75" thickBot="1">
      <c r="A24" s="652" t="s">
        <v>15</v>
      </c>
      <c r="B24" s="1254">
        <v>1</v>
      </c>
      <c r="C24" s="1255" t="s">
        <v>1195</v>
      </c>
      <c r="D24" s="1256">
        <v>1961400</v>
      </c>
      <c r="E24" s="1256">
        <v>1961400</v>
      </c>
      <c r="F24" s="1256">
        <v>1961400</v>
      </c>
      <c r="G24" s="1665">
        <f t="shared" si="1"/>
        <v>1</v>
      </c>
    </row>
    <row r="25" spans="1:12" ht="12.75" thickBot="1">
      <c r="A25" s="370" t="s">
        <v>23</v>
      </c>
      <c r="B25" s="747"/>
      <c r="C25" s="358" t="s">
        <v>1194</v>
      </c>
      <c r="D25" s="1241">
        <f>+D9+D20+D21+D22+D23+D24</f>
        <v>221899543</v>
      </c>
      <c r="E25" s="1241">
        <f>+E9+E20+E21+E22+E23+E24</f>
        <v>226969763</v>
      </c>
      <c r="F25" s="1241">
        <f>+F9+F20+F21+F22+F23+F24</f>
        <v>226969763</v>
      </c>
      <c r="G25" s="1635">
        <f t="shared" si="1"/>
        <v>1</v>
      </c>
      <c r="I25" s="548">
        <f>+'1.mell._Össz_Mérleg2019'!D13</f>
        <v>226970</v>
      </c>
      <c r="J25" s="548">
        <f>+ROUND(E25/1000,0)-I25</f>
        <v>0</v>
      </c>
      <c r="K25" s="548">
        <f>+'1.mell._Össz_Mérleg2019'!E13</f>
        <v>226970</v>
      </c>
      <c r="L25" s="548">
        <f>+ROUND(F25/1000,0)-K25</f>
        <v>0</v>
      </c>
    </row>
    <row r="26" spans="1:12">
      <c r="A26" s="367" t="s">
        <v>4</v>
      </c>
      <c r="B26" s="737"/>
      <c r="C26" s="357" t="s">
        <v>1359</v>
      </c>
      <c r="D26" s="1242">
        <f>94132967+30870000+2914333+46775050+15435000+1457167</f>
        <v>191584517</v>
      </c>
      <c r="E26" s="1242">
        <f>94132967+30870000+2914333+46775050+15435000+1457167+4095000</f>
        <v>195679517</v>
      </c>
      <c r="F26" s="1242">
        <f>94132967+30870000+2914333+46775050+15435000+1457167+4095000</f>
        <v>195679517</v>
      </c>
      <c r="G26" s="1665">
        <f t="shared" si="1"/>
        <v>1</v>
      </c>
    </row>
    <row r="27" spans="1:12">
      <c r="A27" s="313" t="s">
        <v>5</v>
      </c>
      <c r="B27" s="737"/>
      <c r="C27" s="356" t="s">
        <v>549</v>
      </c>
      <c r="D27" s="1239">
        <f>23700667+11850333</f>
        <v>35551000</v>
      </c>
      <c r="E27" s="1239">
        <f>23700667+11850333</f>
        <v>35551000</v>
      </c>
      <c r="F27" s="1239">
        <f>23700667+11850333</f>
        <v>35551000</v>
      </c>
      <c r="G27" s="1665">
        <f t="shared" si="1"/>
        <v>1</v>
      </c>
    </row>
    <row r="28" spans="1:12">
      <c r="A28" s="313" t="s">
        <v>6</v>
      </c>
      <c r="B28" s="737"/>
      <c r="C28" s="356" t="s">
        <v>550</v>
      </c>
      <c r="D28" s="1239"/>
      <c r="E28" s="1239"/>
      <c r="F28" s="1239"/>
      <c r="G28" s="1665" t="str">
        <f t="shared" si="1"/>
        <v>-</v>
      </c>
    </row>
    <row r="29" spans="1:12" ht="24">
      <c r="A29" s="313" t="s">
        <v>3</v>
      </c>
      <c r="B29" s="737"/>
      <c r="C29" s="356" t="s">
        <v>1196</v>
      </c>
      <c r="D29" s="1239">
        <f>3570300+1447300</f>
        <v>5017600</v>
      </c>
      <c r="E29" s="1239">
        <v>5017600</v>
      </c>
      <c r="F29" s="1239">
        <v>5017600</v>
      </c>
      <c r="G29" s="1665">
        <f t="shared" si="1"/>
        <v>1</v>
      </c>
    </row>
    <row r="30" spans="1:12" ht="12.75" thickBot="1">
      <c r="A30" s="313" t="s">
        <v>16</v>
      </c>
      <c r="B30" s="737"/>
      <c r="C30" s="356" t="s">
        <v>1361</v>
      </c>
      <c r="D30" s="1239"/>
      <c r="E30" s="1239"/>
      <c r="F30" s="1239"/>
      <c r="G30" s="1665" t="str">
        <f t="shared" si="1"/>
        <v>-</v>
      </c>
    </row>
    <row r="31" spans="1:12" ht="12.75" thickBot="1">
      <c r="A31" s="370" t="s">
        <v>22</v>
      </c>
      <c r="B31" s="747">
        <v>19</v>
      </c>
      <c r="C31" s="358" t="s">
        <v>1360</v>
      </c>
      <c r="D31" s="1241">
        <f>+D26+D27+D28+D29+D30</f>
        <v>232153117</v>
      </c>
      <c r="E31" s="1241">
        <f>+E26+E27+E28+E29+E30</f>
        <v>236248117</v>
      </c>
      <c r="F31" s="1241">
        <f>+F26+F27+F28+F29+F30</f>
        <v>236248117</v>
      </c>
      <c r="G31" s="1635">
        <f t="shared" si="1"/>
        <v>1</v>
      </c>
      <c r="I31" s="548">
        <f>+'1.mell._Össz_Mérleg2019'!D14</f>
        <v>236248</v>
      </c>
      <c r="J31" s="548">
        <f>+ROUND(E31/1000,0)-I31</f>
        <v>0</v>
      </c>
      <c r="K31" s="548">
        <f>+'1.mell._Össz_Mérleg2019'!E14</f>
        <v>236248</v>
      </c>
      <c r="L31" s="548">
        <f>+ROUND(F31/1000,0)-K31</f>
        <v>0</v>
      </c>
    </row>
    <row r="32" spans="1:12">
      <c r="A32" s="367" t="s">
        <v>4</v>
      </c>
      <c r="B32" s="737">
        <v>32</v>
      </c>
      <c r="C32" s="357" t="s">
        <v>1362</v>
      </c>
      <c r="D32" s="1242"/>
      <c r="E32" s="1242">
        <v>11522146</v>
      </c>
      <c r="F32" s="1242">
        <v>11522146</v>
      </c>
      <c r="G32" s="1665">
        <f t="shared" si="1"/>
        <v>1</v>
      </c>
    </row>
    <row r="33" spans="1:13">
      <c r="A33" s="313" t="s">
        <v>5</v>
      </c>
      <c r="B33" s="738">
        <v>6</v>
      </c>
      <c r="C33" s="356" t="s">
        <v>990</v>
      </c>
      <c r="D33" s="1239">
        <v>111268497</v>
      </c>
      <c r="E33" s="1239">
        <v>111268497</v>
      </c>
      <c r="F33" s="1239">
        <v>111268497</v>
      </c>
      <c r="G33" s="1665">
        <f t="shared" si="1"/>
        <v>1</v>
      </c>
    </row>
    <row r="34" spans="1:13">
      <c r="A34" s="313" t="s">
        <v>6</v>
      </c>
      <c r="B34" s="738"/>
      <c r="C34" s="356" t="s">
        <v>551</v>
      </c>
      <c r="D34" s="1239">
        <f>+D35+D36+D37+D38+D41+D42+D43+D44+D45+D46+D47+D48+D49+D50+D51</f>
        <v>73861279</v>
      </c>
      <c r="E34" s="1239">
        <f>+E35+E36+E37+E38+E41+E42+E43+E44+E45+E46+E47+E48+E49+E50+E51</f>
        <v>76711279</v>
      </c>
      <c r="F34" s="1239">
        <f>+F35+F36+F37+F38+F41+F42+F43+F44+F45+F46+F47+F48+F49+F50+F51</f>
        <v>76711279</v>
      </c>
      <c r="G34" s="1665">
        <f t="shared" si="1"/>
        <v>1</v>
      </c>
    </row>
    <row r="35" spans="1:13">
      <c r="A35" s="313" t="s">
        <v>573</v>
      </c>
      <c r="B35" s="738">
        <v>32</v>
      </c>
      <c r="C35" s="374" t="s">
        <v>991</v>
      </c>
      <c r="D35" s="1239">
        <v>25500000</v>
      </c>
      <c r="E35" s="1239">
        <f>25500000+2850000</f>
        <v>28350000</v>
      </c>
      <c r="F35" s="1239">
        <f>25500000+2850000</f>
        <v>28350000</v>
      </c>
      <c r="G35" s="1665">
        <f t="shared" si="1"/>
        <v>1</v>
      </c>
      <c r="M35" s="548"/>
    </row>
    <row r="36" spans="1:13">
      <c r="A36" s="313" t="s">
        <v>564</v>
      </c>
      <c r="B36" s="738">
        <v>32</v>
      </c>
      <c r="C36" s="374" t="s">
        <v>992</v>
      </c>
      <c r="D36" s="1239">
        <v>29040000</v>
      </c>
      <c r="E36" s="1239">
        <v>29040000</v>
      </c>
      <c r="F36" s="1239">
        <v>29040000</v>
      </c>
      <c r="G36" s="1665">
        <f t="shared" si="1"/>
        <v>1</v>
      </c>
    </row>
    <row r="37" spans="1:13">
      <c r="A37" s="313" t="s">
        <v>569</v>
      </c>
      <c r="B37" s="738"/>
      <c r="C37" s="374" t="s">
        <v>552</v>
      </c>
      <c r="D37" s="1239"/>
      <c r="E37" s="1239"/>
      <c r="F37" s="1239"/>
      <c r="G37" s="1665" t="str">
        <f t="shared" si="1"/>
        <v>-</v>
      </c>
    </row>
    <row r="38" spans="1:13">
      <c r="A38" s="313" t="s">
        <v>571</v>
      </c>
      <c r="B38" s="738"/>
      <c r="C38" s="374" t="s">
        <v>553</v>
      </c>
      <c r="D38" s="1239">
        <f>+D39+D40</f>
        <v>0</v>
      </c>
      <c r="E38" s="1239">
        <f>+E39+E40</f>
        <v>0</v>
      </c>
      <c r="F38" s="1239">
        <f>+F39+F40</f>
        <v>0</v>
      </c>
      <c r="G38" s="1665" t="str">
        <f t="shared" si="1"/>
        <v>-</v>
      </c>
    </row>
    <row r="39" spans="1:13" s="543" customFormat="1">
      <c r="A39" s="368" t="s">
        <v>1125</v>
      </c>
      <c r="B39" s="748"/>
      <c r="C39" s="375" t="s">
        <v>1127</v>
      </c>
      <c r="D39" s="1247"/>
      <c r="E39" s="1247"/>
      <c r="F39" s="1247"/>
      <c r="G39" s="1665" t="str">
        <f t="shared" si="1"/>
        <v>-</v>
      </c>
    </row>
    <row r="40" spans="1:13" s="543" customFormat="1">
      <c r="A40" s="368" t="s">
        <v>1126</v>
      </c>
      <c r="B40" s="748"/>
      <c r="C40" s="375" t="s">
        <v>1128</v>
      </c>
      <c r="D40" s="1247"/>
      <c r="E40" s="1247"/>
      <c r="F40" s="1247"/>
      <c r="G40" s="1665" t="str">
        <f t="shared" si="1"/>
        <v>-</v>
      </c>
    </row>
    <row r="41" spans="1:13">
      <c r="A41" s="313" t="s">
        <v>574</v>
      </c>
      <c r="B41" s="738"/>
      <c r="C41" s="374" t="s">
        <v>554</v>
      </c>
      <c r="D41" s="1239"/>
      <c r="E41" s="1239"/>
      <c r="F41" s="1239"/>
      <c r="G41" s="1665" t="str">
        <f t="shared" si="1"/>
        <v>-</v>
      </c>
    </row>
    <row r="42" spans="1:13">
      <c r="A42" s="313" t="s">
        <v>575</v>
      </c>
      <c r="B42" s="738"/>
      <c r="C42" s="374" t="s">
        <v>555</v>
      </c>
      <c r="D42" s="1239"/>
      <c r="E42" s="1239"/>
      <c r="F42" s="1239"/>
      <c r="G42" s="1665" t="str">
        <f t="shared" si="1"/>
        <v>-</v>
      </c>
    </row>
    <row r="43" spans="1:13">
      <c r="A43" s="313" t="s">
        <v>576</v>
      </c>
      <c r="B43" s="738"/>
      <c r="C43" s="374" t="s">
        <v>556</v>
      </c>
      <c r="D43" s="1239"/>
      <c r="E43" s="1239"/>
      <c r="F43" s="1239"/>
      <c r="G43" s="1665" t="str">
        <f t="shared" si="1"/>
        <v>-</v>
      </c>
    </row>
    <row r="44" spans="1:13">
      <c r="A44" s="313" t="s">
        <v>577</v>
      </c>
      <c r="B44" s="738"/>
      <c r="C44" s="374" t="s">
        <v>578</v>
      </c>
      <c r="D44" s="1239"/>
      <c r="E44" s="1239"/>
      <c r="F44" s="1239"/>
      <c r="G44" s="1665" t="str">
        <f t="shared" si="1"/>
        <v>-</v>
      </c>
    </row>
    <row r="45" spans="1:13">
      <c r="A45" s="313" t="s">
        <v>579</v>
      </c>
      <c r="B45" s="738"/>
      <c r="C45" s="374" t="s">
        <v>557</v>
      </c>
      <c r="D45" s="1239"/>
      <c r="E45" s="1239"/>
      <c r="F45" s="1239"/>
      <c r="G45" s="1665" t="str">
        <f t="shared" si="1"/>
        <v>-</v>
      </c>
    </row>
    <row r="46" spans="1:13">
      <c r="A46" s="313" t="s">
        <v>580</v>
      </c>
      <c r="B46" s="738"/>
      <c r="C46" s="374" t="s">
        <v>1129</v>
      </c>
      <c r="D46" s="1239"/>
      <c r="E46" s="1239"/>
      <c r="F46" s="1239"/>
      <c r="G46" s="1665" t="str">
        <f t="shared" si="1"/>
        <v>-</v>
      </c>
    </row>
    <row r="47" spans="1:13">
      <c r="A47" s="313" t="s">
        <v>582</v>
      </c>
      <c r="B47" s="738"/>
      <c r="C47" s="374" t="s">
        <v>583</v>
      </c>
      <c r="D47" s="1239"/>
      <c r="E47" s="1239"/>
      <c r="F47" s="1239"/>
      <c r="G47" s="1665" t="str">
        <f t="shared" si="1"/>
        <v>-</v>
      </c>
    </row>
    <row r="48" spans="1:13">
      <c r="A48" s="313" t="s">
        <v>584</v>
      </c>
      <c r="B48" s="738"/>
      <c r="C48" s="374" t="s">
        <v>1130</v>
      </c>
      <c r="D48" s="1239"/>
      <c r="E48" s="1239"/>
      <c r="F48" s="1239"/>
      <c r="G48" s="1665" t="str">
        <f t="shared" si="1"/>
        <v>-</v>
      </c>
    </row>
    <row r="49" spans="1:7">
      <c r="A49" s="313" t="s">
        <v>1131</v>
      </c>
      <c r="B49" s="738"/>
      <c r="C49" s="374" t="s">
        <v>1132</v>
      </c>
      <c r="D49" s="1239"/>
      <c r="E49" s="1239"/>
      <c r="F49" s="1239"/>
      <c r="G49" s="1665" t="str">
        <f t="shared" si="1"/>
        <v>-</v>
      </c>
    </row>
    <row r="50" spans="1:7">
      <c r="A50" s="313" t="s">
        <v>1198</v>
      </c>
      <c r="B50" s="738">
        <v>32</v>
      </c>
      <c r="C50" s="374" t="s">
        <v>1197</v>
      </c>
      <c r="D50" s="1239">
        <v>19321279</v>
      </c>
      <c r="E50" s="1239">
        <v>19321279</v>
      </c>
      <c r="F50" s="1239">
        <v>19321279</v>
      </c>
      <c r="G50" s="1665">
        <f t="shared" si="1"/>
        <v>1</v>
      </c>
    </row>
    <row r="51" spans="1:7">
      <c r="A51" s="313" t="s">
        <v>1363</v>
      </c>
      <c r="B51" s="738">
        <v>32</v>
      </c>
      <c r="C51" s="374" t="s">
        <v>1364</v>
      </c>
      <c r="D51" s="1239">
        <f>+D52+D53</f>
        <v>0</v>
      </c>
      <c r="E51" s="1239">
        <f>+E52+E53</f>
        <v>0</v>
      </c>
      <c r="F51" s="1239">
        <f>+F52+F53</f>
        <v>0</v>
      </c>
      <c r="G51" s="1665" t="str">
        <f t="shared" si="1"/>
        <v>-</v>
      </c>
    </row>
    <row r="52" spans="1:7" s="543" customFormat="1">
      <c r="A52" s="368" t="s">
        <v>1365</v>
      </c>
      <c r="B52" s="748"/>
      <c r="C52" s="375" t="s">
        <v>1367</v>
      </c>
      <c r="D52" s="1247"/>
      <c r="E52" s="1247"/>
      <c r="F52" s="1247"/>
      <c r="G52" s="1665" t="str">
        <f t="shared" si="1"/>
        <v>-</v>
      </c>
    </row>
    <row r="53" spans="1:7" s="543" customFormat="1">
      <c r="A53" s="368" t="s">
        <v>1366</v>
      </c>
      <c r="B53" s="748"/>
      <c r="C53" s="375" t="s">
        <v>1368</v>
      </c>
      <c r="D53" s="1247"/>
      <c r="E53" s="1247"/>
      <c r="F53" s="1247"/>
      <c r="G53" s="1665" t="str">
        <f t="shared" si="1"/>
        <v>-</v>
      </c>
    </row>
    <row r="54" spans="1:7" ht="24">
      <c r="A54" s="313" t="s">
        <v>3</v>
      </c>
      <c r="B54" s="738"/>
      <c r="C54" s="356" t="s">
        <v>993</v>
      </c>
      <c r="D54" s="1239">
        <f>+D55+D56+D57</f>
        <v>0</v>
      </c>
      <c r="E54" s="1239">
        <f>+E55+E56+E57</f>
        <v>0</v>
      </c>
      <c r="F54" s="1239">
        <f>+F55+F56+F57</f>
        <v>0</v>
      </c>
      <c r="G54" s="1665" t="str">
        <f t="shared" si="1"/>
        <v>-</v>
      </c>
    </row>
    <row r="55" spans="1:7">
      <c r="A55" s="313" t="s">
        <v>573</v>
      </c>
      <c r="B55" s="738"/>
      <c r="C55" s="374" t="s">
        <v>585</v>
      </c>
      <c r="D55" s="1239"/>
      <c r="E55" s="1239"/>
      <c r="F55" s="1239"/>
      <c r="G55" s="1665" t="str">
        <f t="shared" si="1"/>
        <v>-</v>
      </c>
    </row>
    <row r="56" spans="1:7">
      <c r="A56" s="313" t="s">
        <v>564</v>
      </c>
      <c r="B56" s="738"/>
      <c r="C56" s="374" t="s">
        <v>586</v>
      </c>
      <c r="D56" s="1239"/>
      <c r="E56" s="1239"/>
      <c r="F56" s="1239"/>
      <c r="G56" s="1665" t="str">
        <f t="shared" si="1"/>
        <v>-</v>
      </c>
    </row>
    <row r="57" spans="1:7">
      <c r="A57" s="313" t="s">
        <v>569</v>
      </c>
      <c r="B57" s="738"/>
      <c r="C57" s="374" t="s">
        <v>1369</v>
      </c>
      <c r="D57" s="1239"/>
      <c r="E57" s="1239"/>
      <c r="F57" s="1239"/>
      <c r="G57" s="1665" t="str">
        <f t="shared" si="1"/>
        <v>-</v>
      </c>
    </row>
    <row r="58" spans="1:7">
      <c r="A58" s="313" t="s">
        <v>16</v>
      </c>
      <c r="B58" s="738"/>
      <c r="C58" s="356" t="s">
        <v>1373</v>
      </c>
      <c r="D58" s="1239">
        <f>+D59+D62</f>
        <v>70178687</v>
      </c>
      <c r="E58" s="1239">
        <f>+E59+E62</f>
        <v>74128331</v>
      </c>
      <c r="F58" s="1239">
        <f>+F59+F62</f>
        <v>74128331</v>
      </c>
      <c r="G58" s="1665">
        <f t="shared" si="1"/>
        <v>1</v>
      </c>
    </row>
    <row r="59" spans="1:7">
      <c r="A59" s="313" t="s">
        <v>573</v>
      </c>
      <c r="B59" s="738">
        <v>20</v>
      </c>
      <c r="C59" s="374" t="s">
        <v>1370</v>
      </c>
      <c r="D59" s="1239">
        <f>+D60+D61</f>
        <v>64073417</v>
      </c>
      <c r="E59" s="1239">
        <f>+E60+E61</f>
        <v>68023061</v>
      </c>
      <c r="F59" s="1239">
        <f>+F60+F61</f>
        <v>68023061</v>
      </c>
      <c r="G59" s="1665">
        <f t="shared" si="1"/>
        <v>1</v>
      </c>
    </row>
    <row r="60" spans="1:7" s="543" customFormat="1">
      <c r="A60" s="368" t="s">
        <v>1371</v>
      </c>
      <c r="B60" s="748"/>
      <c r="C60" s="375" t="s">
        <v>994</v>
      </c>
      <c r="D60" s="1247">
        <v>35321000</v>
      </c>
      <c r="E60" s="1247">
        <f>35321000+3718000</f>
        <v>39039000</v>
      </c>
      <c r="F60" s="1247">
        <f>35321000+3718000</f>
        <v>39039000</v>
      </c>
      <c r="G60" s="1665">
        <f t="shared" si="1"/>
        <v>1</v>
      </c>
    </row>
    <row r="61" spans="1:7" s="543" customFormat="1">
      <c r="A61" s="368" t="s">
        <v>1372</v>
      </c>
      <c r="B61" s="748"/>
      <c r="C61" s="375" t="s">
        <v>995</v>
      </c>
      <c r="D61" s="1247">
        <v>28752417</v>
      </c>
      <c r="E61" s="1247">
        <v>28984061</v>
      </c>
      <c r="F61" s="1247">
        <v>28984061</v>
      </c>
      <c r="G61" s="1665">
        <f t="shared" si="1"/>
        <v>1</v>
      </c>
    </row>
    <row r="62" spans="1:7">
      <c r="A62" s="313" t="s">
        <v>564</v>
      </c>
      <c r="B62" s="738">
        <v>6</v>
      </c>
      <c r="C62" s="374" t="s">
        <v>1133</v>
      </c>
      <c r="D62" s="1239">
        <v>6105270</v>
      </c>
      <c r="E62" s="1239">
        <v>6105270</v>
      </c>
      <c r="F62" s="1239">
        <v>6105270</v>
      </c>
      <c r="G62" s="1665">
        <f t="shared" si="1"/>
        <v>1</v>
      </c>
    </row>
    <row r="63" spans="1:7">
      <c r="A63" s="313" t="s">
        <v>15</v>
      </c>
      <c r="B63" s="738">
        <v>21</v>
      </c>
      <c r="C63" s="356" t="s">
        <v>1199</v>
      </c>
      <c r="D63" s="1239">
        <f>+D64+D65</f>
        <v>24951000</v>
      </c>
      <c r="E63" s="1239">
        <f>+E64+E65</f>
        <v>23732000</v>
      </c>
      <c r="F63" s="1239">
        <f>+F64+F65</f>
        <v>23732000</v>
      </c>
      <c r="G63" s="1665">
        <f t="shared" si="1"/>
        <v>1</v>
      </c>
    </row>
    <row r="64" spans="1:7">
      <c r="A64" s="313" t="s">
        <v>573</v>
      </c>
      <c r="B64" s="738"/>
      <c r="C64" s="374" t="s">
        <v>585</v>
      </c>
      <c r="D64" s="1239">
        <f>4419000+14965000</f>
        <v>19384000</v>
      </c>
      <c r="E64" s="1239">
        <v>17958000</v>
      </c>
      <c r="F64" s="1239">
        <v>17958000</v>
      </c>
      <c r="G64" s="1665">
        <f t="shared" si="1"/>
        <v>1</v>
      </c>
    </row>
    <row r="65" spans="1:12" ht="12.75" thickBot="1">
      <c r="A65" s="313" t="s">
        <v>564</v>
      </c>
      <c r="B65" s="738"/>
      <c r="C65" s="374" t="s">
        <v>1200</v>
      </c>
      <c r="D65" s="1239">
        <v>5567000</v>
      </c>
      <c r="E65" s="1239">
        <v>5774000</v>
      </c>
      <c r="F65" s="1239">
        <v>5774000</v>
      </c>
      <c r="G65" s="1665">
        <f t="shared" si="1"/>
        <v>1</v>
      </c>
    </row>
    <row r="66" spans="1:12" ht="24.75" thickBot="1">
      <c r="A66" s="370" t="s">
        <v>21</v>
      </c>
      <c r="B66" s="747"/>
      <c r="C66" s="358" t="s">
        <v>1374</v>
      </c>
      <c r="D66" s="1241">
        <f>+D32+D33+D34+D54+D58+D63</f>
        <v>280259463</v>
      </c>
      <c r="E66" s="1241">
        <f>+E32+E33+E34+E54+E58+E63</f>
        <v>297362253</v>
      </c>
      <c r="F66" s="1241">
        <f>+F32+F33+F34+F54+F58+F63</f>
        <v>297362253</v>
      </c>
      <c r="G66" s="1635">
        <f t="shared" si="1"/>
        <v>1</v>
      </c>
      <c r="I66" s="548">
        <f>+'1.mell._Össz_Mérleg2019'!D15</f>
        <v>297362</v>
      </c>
      <c r="J66" s="548">
        <f>+ROUND(E66/1000,0)-I66</f>
        <v>0</v>
      </c>
      <c r="K66" s="548">
        <f>+'1.mell._Össz_Mérleg2019'!E15</f>
        <v>297362</v>
      </c>
      <c r="L66" s="548">
        <f>+ROUND(F66/1000,0)-K66</f>
        <v>0</v>
      </c>
    </row>
    <row r="67" spans="1:12">
      <c r="A67" s="367" t="s">
        <v>4</v>
      </c>
      <c r="B67" s="737"/>
      <c r="C67" s="357" t="s">
        <v>558</v>
      </c>
      <c r="D67" s="1242">
        <f>+D68+D69+D70+D71+D72+D73+D74+D75+D76</f>
        <v>19679240</v>
      </c>
      <c r="E67" s="1242">
        <f>+E68+E69+E70+E71+E72+E73+E74+E75+E76</f>
        <v>20400240</v>
      </c>
      <c r="F67" s="1242">
        <f>+F68+F69+F70+F71+F72+F73+F74+F75+F76</f>
        <v>20400240</v>
      </c>
      <c r="G67" s="1665">
        <f t="shared" si="1"/>
        <v>1</v>
      </c>
    </row>
    <row r="68" spans="1:12">
      <c r="A68" s="367" t="s">
        <v>573</v>
      </c>
      <c r="B68" s="737"/>
      <c r="C68" s="376" t="s">
        <v>1134</v>
      </c>
      <c r="D68" s="1242"/>
      <c r="E68" s="1242"/>
      <c r="F68" s="1242"/>
      <c r="G68" s="1665" t="str">
        <f t="shared" si="1"/>
        <v>-</v>
      </c>
    </row>
    <row r="69" spans="1:12">
      <c r="A69" s="367" t="s">
        <v>564</v>
      </c>
      <c r="B69" s="737"/>
      <c r="C69" s="376" t="s">
        <v>587</v>
      </c>
      <c r="D69" s="1242"/>
      <c r="E69" s="1242"/>
      <c r="F69" s="1242"/>
      <c r="G69" s="1665" t="str">
        <f t="shared" si="1"/>
        <v>-</v>
      </c>
    </row>
    <row r="70" spans="1:12">
      <c r="A70" s="367" t="s">
        <v>569</v>
      </c>
      <c r="B70" s="737"/>
      <c r="C70" s="376" t="s">
        <v>1135</v>
      </c>
      <c r="D70" s="1242"/>
      <c r="E70" s="1242"/>
      <c r="F70" s="1242"/>
      <c r="G70" s="1665" t="str">
        <f t="shared" si="1"/>
        <v>-</v>
      </c>
    </row>
    <row r="71" spans="1:12">
      <c r="A71" s="367" t="s">
        <v>571</v>
      </c>
      <c r="B71" s="764">
        <v>25</v>
      </c>
      <c r="C71" s="376" t="s">
        <v>1136</v>
      </c>
      <c r="D71" s="1242">
        <v>13000240</v>
      </c>
      <c r="E71" s="1242">
        <f>13000240+441000+280000</f>
        <v>13721240</v>
      </c>
      <c r="F71" s="1242">
        <f>13000240+441000+280000</f>
        <v>13721240</v>
      </c>
      <c r="G71" s="1665">
        <f t="shared" si="1"/>
        <v>1</v>
      </c>
    </row>
    <row r="72" spans="1:12">
      <c r="A72" s="367" t="s">
        <v>574</v>
      </c>
      <c r="B72" s="737">
        <v>26</v>
      </c>
      <c r="C72" s="376" t="s">
        <v>24</v>
      </c>
      <c r="D72" s="1242">
        <v>6679000</v>
      </c>
      <c r="E72" s="1242">
        <v>6679000</v>
      </c>
      <c r="F72" s="1242">
        <v>6679000</v>
      </c>
      <c r="G72" s="1665">
        <f t="shared" si="1"/>
        <v>1</v>
      </c>
    </row>
    <row r="73" spans="1:12">
      <c r="A73" s="367" t="s">
        <v>575</v>
      </c>
      <c r="B73" s="737"/>
      <c r="C73" s="376" t="s">
        <v>1137</v>
      </c>
      <c r="D73" s="1242"/>
      <c r="E73" s="1242"/>
      <c r="F73" s="1242"/>
      <c r="G73" s="1665" t="str">
        <f t="shared" ref="G73:G84" si="2">IF(ISERROR(F73/E73),"-",F73/E73)</f>
        <v>-</v>
      </c>
    </row>
    <row r="74" spans="1:12">
      <c r="A74" s="367" t="s">
        <v>576</v>
      </c>
      <c r="B74" s="737"/>
      <c r="C74" s="376" t="s">
        <v>1138</v>
      </c>
      <c r="D74" s="1242"/>
      <c r="E74" s="1242"/>
      <c r="F74" s="1242"/>
      <c r="G74" s="1665" t="str">
        <f t="shared" si="2"/>
        <v>-</v>
      </c>
    </row>
    <row r="75" spans="1:12">
      <c r="A75" s="367" t="s">
        <v>577</v>
      </c>
      <c r="B75" s="737"/>
      <c r="C75" s="376" t="s">
        <v>1201</v>
      </c>
      <c r="D75" s="1242"/>
      <c r="E75" s="1242"/>
      <c r="F75" s="1242"/>
      <c r="G75" s="1665" t="str">
        <f t="shared" si="2"/>
        <v>-</v>
      </c>
    </row>
    <row r="76" spans="1:12">
      <c r="A76" s="367" t="s">
        <v>579</v>
      </c>
      <c r="B76" s="737"/>
      <c r="C76" s="376" t="s">
        <v>996</v>
      </c>
      <c r="D76" s="1242"/>
      <c r="E76" s="1242"/>
      <c r="F76" s="1242"/>
      <c r="G76" s="1665" t="str">
        <f t="shared" si="2"/>
        <v>-</v>
      </c>
    </row>
    <row r="77" spans="1:12">
      <c r="A77" s="367" t="s">
        <v>5</v>
      </c>
      <c r="B77" s="737"/>
      <c r="C77" s="357" t="s">
        <v>559</v>
      </c>
      <c r="D77" s="1242">
        <f>+D78+D79+D80</f>
        <v>0</v>
      </c>
      <c r="E77" s="1242">
        <f t="shared" ref="E77" si="3">+E78+E79+E80</f>
        <v>0</v>
      </c>
      <c r="F77" s="1242">
        <f t="shared" ref="F77" si="4">+F78+F79+F80</f>
        <v>0</v>
      </c>
      <c r="G77" s="1665" t="str">
        <f t="shared" si="2"/>
        <v>-</v>
      </c>
    </row>
    <row r="78" spans="1:12">
      <c r="A78" s="367" t="s">
        <v>573</v>
      </c>
      <c r="B78" s="737"/>
      <c r="C78" s="376" t="s">
        <v>588</v>
      </c>
      <c r="D78" s="1242"/>
      <c r="E78" s="1242"/>
      <c r="F78" s="1242"/>
      <c r="G78" s="1665" t="str">
        <f t="shared" si="2"/>
        <v>-</v>
      </c>
    </row>
    <row r="79" spans="1:12">
      <c r="A79" s="367" t="s">
        <v>564</v>
      </c>
      <c r="B79" s="737"/>
      <c r="C79" s="376" t="s">
        <v>589</v>
      </c>
      <c r="D79" s="1242"/>
      <c r="E79" s="1242"/>
      <c r="F79" s="1242"/>
      <c r="G79" s="1665" t="str">
        <f t="shared" si="2"/>
        <v>-</v>
      </c>
    </row>
    <row r="80" spans="1:12">
      <c r="A80" s="367" t="s">
        <v>569</v>
      </c>
      <c r="B80" s="737"/>
      <c r="C80" s="376" t="s">
        <v>590</v>
      </c>
      <c r="D80" s="1242"/>
      <c r="E80" s="1242"/>
      <c r="F80" s="1242"/>
      <c r="G80" s="1665" t="str">
        <f t="shared" si="2"/>
        <v>-</v>
      </c>
    </row>
    <row r="81" spans="1:12" ht="12.75" thickBot="1">
      <c r="A81" s="367" t="s">
        <v>6</v>
      </c>
      <c r="B81" s="737">
        <v>25</v>
      </c>
      <c r="C81" s="357" t="s">
        <v>1202</v>
      </c>
      <c r="D81" s="1242"/>
      <c r="E81" s="1242">
        <v>2192813</v>
      </c>
      <c r="F81" s="1242">
        <v>2192813</v>
      </c>
      <c r="G81" s="1665">
        <f t="shared" si="2"/>
        <v>1</v>
      </c>
    </row>
    <row r="82" spans="1:12" ht="12.75" thickBot="1">
      <c r="A82" s="370" t="s">
        <v>20</v>
      </c>
      <c r="B82" s="747"/>
      <c r="C82" s="358" t="s">
        <v>1203</v>
      </c>
      <c r="D82" s="1241">
        <f>+D67+D77+D81</f>
        <v>19679240</v>
      </c>
      <c r="E82" s="1241">
        <f>+E67+E77+E81</f>
        <v>22593053</v>
      </c>
      <c r="F82" s="1241">
        <f>+F67+F77+F81</f>
        <v>22593053</v>
      </c>
      <c r="G82" s="1635">
        <f t="shared" si="2"/>
        <v>1</v>
      </c>
      <c r="I82" s="548">
        <f>+'1.mell._Össz_Mérleg2019'!D16</f>
        <v>22593</v>
      </c>
      <c r="J82" s="548">
        <f>+ROUND(E82/1000,0)-I82</f>
        <v>0</v>
      </c>
      <c r="K82" s="548">
        <f>+'1.mell._Össz_Mérleg2019'!E16</f>
        <v>22593</v>
      </c>
      <c r="L82" s="548">
        <f>+ROUND(F82/1000,0)-K82</f>
        <v>0</v>
      </c>
    </row>
    <row r="83" spans="1:12" s="543" customFormat="1" ht="12.75" thickBot="1">
      <c r="A83" s="377" t="s">
        <v>560</v>
      </c>
      <c r="B83" s="749"/>
      <c r="C83" s="378" t="s">
        <v>997</v>
      </c>
      <c r="D83" s="1248">
        <v>-14606477</v>
      </c>
      <c r="E83" s="1248">
        <v>-14606477</v>
      </c>
      <c r="F83" s="1248">
        <v>-14606477</v>
      </c>
      <c r="G83" s="1635">
        <f t="shared" si="2"/>
        <v>1</v>
      </c>
    </row>
    <row r="84" spans="1:12" ht="24.75" thickBot="1">
      <c r="A84" s="379" t="s">
        <v>596</v>
      </c>
      <c r="B84" s="742"/>
      <c r="C84" s="358" t="s">
        <v>887</v>
      </c>
      <c r="D84" s="1241">
        <f>+D25+D31+D66+D82</f>
        <v>753991363</v>
      </c>
      <c r="E84" s="1241">
        <f>+E25+E31+E66+E82</f>
        <v>783173186</v>
      </c>
      <c r="F84" s="1241">
        <f>+F25+F31+F66+F82</f>
        <v>783173186</v>
      </c>
      <c r="G84" s="1635">
        <f t="shared" si="2"/>
        <v>1</v>
      </c>
      <c r="I84" s="548"/>
      <c r="K84" s="548"/>
    </row>
    <row r="85" spans="1:12" ht="12.75" thickBot="1">
      <c r="A85" s="371"/>
      <c r="B85" s="750"/>
      <c r="C85" s="362"/>
      <c r="D85" s="1249"/>
      <c r="E85" s="1251"/>
      <c r="F85" s="1251"/>
      <c r="G85" s="1679"/>
    </row>
    <row r="86" spans="1:12" ht="12.75" thickBot="1">
      <c r="A86" s="1873" t="s">
        <v>595</v>
      </c>
      <c r="B86" s="1874"/>
      <c r="C86" s="1874"/>
      <c r="D86" s="1874"/>
      <c r="E86" s="1874"/>
      <c r="F86" s="1874"/>
      <c r="G86" s="1875"/>
    </row>
    <row r="87" spans="1:12" s="659" customFormat="1">
      <c r="A87" s="313" t="s">
        <v>4</v>
      </c>
      <c r="B87" s="738"/>
      <c r="C87" s="356" t="s">
        <v>31</v>
      </c>
      <c r="D87" s="1239"/>
      <c r="E87" s="1243"/>
      <c r="F87" s="1243"/>
      <c r="G87" s="1665" t="str">
        <f t="shared" ref="G87:G99" si="5">IF(ISERROR(F87/E87),"-",F87/E87)</f>
        <v>-</v>
      </c>
      <c r="I87" s="380"/>
      <c r="J87" s="380"/>
      <c r="K87" s="380"/>
      <c r="L87" s="380"/>
    </row>
    <row r="88" spans="1:12" s="659" customFormat="1">
      <c r="A88" s="313" t="s">
        <v>5</v>
      </c>
      <c r="B88" s="738"/>
      <c r="C88" s="356" t="s">
        <v>1139</v>
      </c>
      <c r="D88" s="1239"/>
      <c r="E88" s="1239"/>
      <c r="F88" s="1239"/>
      <c r="G88" s="1665" t="str">
        <f t="shared" si="5"/>
        <v>-</v>
      </c>
      <c r="I88" s="380"/>
      <c r="J88" s="380"/>
      <c r="K88" s="380"/>
      <c r="L88" s="380"/>
    </row>
    <row r="89" spans="1:12" s="659" customFormat="1">
      <c r="A89" s="313" t="s">
        <v>6</v>
      </c>
      <c r="B89" s="738"/>
      <c r="C89" s="356" t="s">
        <v>1140</v>
      </c>
      <c r="D89" s="1239"/>
      <c r="E89" s="1239"/>
      <c r="F89" s="1239"/>
      <c r="G89" s="1665" t="str">
        <f t="shared" si="5"/>
        <v>-</v>
      </c>
      <c r="I89" s="380"/>
      <c r="J89" s="380"/>
      <c r="K89" s="380"/>
      <c r="L89" s="380"/>
    </row>
    <row r="90" spans="1:12" s="659" customFormat="1">
      <c r="A90" s="313" t="s">
        <v>3</v>
      </c>
      <c r="B90" s="738"/>
      <c r="C90" s="356" t="s">
        <v>593</v>
      </c>
      <c r="D90" s="1239"/>
      <c r="E90" s="1239"/>
      <c r="F90" s="1239"/>
      <c r="G90" s="1665" t="str">
        <f t="shared" si="5"/>
        <v>-</v>
      </c>
      <c r="I90" s="380"/>
      <c r="J90" s="380"/>
      <c r="K90" s="380"/>
      <c r="L90" s="380"/>
    </row>
    <row r="91" spans="1:12" s="659" customFormat="1">
      <c r="A91" s="313" t="s">
        <v>16</v>
      </c>
      <c r="B91" s="738"/>
      <c r="C91" s="356" t="s">
        <v>25</v>
      </c>
      <c r="D91" s="1239"/>
      <c r="E91" s="1239"/>
      <c r="F91" s="1239"/>
      <c r="G91" s="1665" t="str">
        <f t="shared" si="5"/>
        <v>-</v>
      </c>
      <c r="I91" s="380"/>
      <c r="J91" s="380"/>
      <c r="K91" s="380"/>
      <c r="L91" s="380"/>
    </row>
    <row r="92" spans="1:12" s="659" customFormat="1">
      <c r="A92" s="313" t="s">
        <v>15</v>
      </c>
      <c r="B92" s="738"/>
      <c r="C92" s="716" t="s">
        <v>1204</v>
      </c>
      <c r="D92" s="1239"/>
      <c r="E92" s="1239">
        <v>900000</v>
      </c>
      <c r="F92" s="1239">
        <v>900000</v>
      </c>
      <c r="G92" s="1665">
        <f t="shared" si="5"/>
        <v>1</v>
      </c>
      <c r="I92" s="380"/>
      <c r="J92" s="380"/>
      <c r="K92" s="380"/>
      <c r="L92" s="380"/>
    </row>
    <row r="93" spans="1:12" s="659" customFormat="1">
      <c r="A93" s="310" t="s">
        <v>14</v>
      </c>
      <c r="B93" s="739"/>
      <c r="C93" s="717" t="s">
        <v>883</v>
      </c>
      <c r="D93" s="1240"/>
      <c r="E93" s="1240"/>
      <c r="F93" s="1240"/>
      <c r="G93" s="1665" t="str">
        <f t="shared" si="5"/>
        <v>-</v>
      </c>
      <c r="I93" s="380"/>
      <c r="J93" s="380"/>
      <c r="K93" s="380"/>
      <c r="L93" s="380"/>
    </row>
    <row r="94" spans="1:12" s="659" customFormat="1" ht="24">
      <c r="A94" s="310" t="s">
        <v>13</v>
      </c>
      <c r="B94" s="739"/>
      <c r="C94" s="765" t="s">
        <v>1141</v>
      </c>
      <c r="D94" s="1240"/>
      <c r="E94" s="1240"/>
      <c r="F94" s="1240"/>
      <c r="G94" s="1665" t="str">
        <f t="shared" si="5"/>
        <v>-</v>
      </c>
      <c r="I94" s="380"/>
      <c r="J94" s="380"/>
      <c r="K94" s="380"/>
      <c r="L94" s="380"/>
    </row>
    <row r="95" spans="1:12" s="659" customFormat="1">
      <c r="A95" s="310" t="s">
        <v>12</v>
      </c>
      <c r="B95" s="739"/>
      <c r="C95" s="717" t="s">
        <v>1142</v>
      </c>
      <c r="D95" s="1240"/>
      <c r="E95" s="1240"/>
      <c r="F95" s="1240"/>
      <c r="G95" s="1665" t="str">
        <f t="shared" si="5"/>
        <v>-</v>
      </c>
      <c r="I95" s="380"/>
      <c r="J95" s="380"/>
      <c r="K95" s="380"/>
      <c r="L95" s="380"/>
    </row>
    <row r="96" spans="1:12" s="659" customFormat="1">
      <c r="A96" s="313" t="s">
        <v>11</v>
      </c>
      <c r="B96" s="738"/>
      <c r="C96" s="356" t="s">
        <v>1002</v>
      </c>
      <c r="D96" s="1239">
        <f>248803000-113958000</f>
        <v>134845000</v>
      </c>
      <c r="E96" s="1239">
        <v>97703552</v>
      </c>
      <c r="F96" s="1239">
        <v>97703552</v>
      </c>
      <c r="G96" s="1665">
        <f t="shared" si="5"/>
        <v>1</v>
      </c>
      <c r="I96" s="380"/>
      <c r="J96" s="380"/>
      <c r="K96" s="380"/>
      <c r="L96" s="380"/>
    </row>
    <row r="97" spans="1:12" s="659" customFormat="1">
      <c r="A97" s="313" t="s">
        <v>10</v>
      </c>
      <c r="B97" s="738"/>
      <c r="C97" s="356" t="s">
        <v>1003</v>
      </c>
      <c r="D97" s="1239"/>
      <c r="E97" s="1239"/>
      <c r="F97" s="1239"/>
      <c r="G97" s="1665" t="str">
        <f t="shared" si="5"/>
        <v>-</v>
      </c>
      <c r="I97" s="380"/>
      <c r="J97" s="380"/>
      <c r="K97" s="380"/>
      <c r="L97" s="380"/>
    </row>
    <row r="98" spans="1:12" s="659" customFormat="1" ht="12.75" thickBot="1">
      <c r="A98" s="313" t="s">
        <v>9</v>
      </c>
      <c r="B98" s="835"/>
      <c r="C98" s="356" t="s">
        <v>1375</v>
      </c>
      <c r="D98" s="1239"/>
      <c r="E98" s="1239">
        <v>25496000</v>
      </c>
      <c r="F98" s="1239">
        <v>25496000</v>
      </c>
      <c r="G98" s="1665">
        <f t="shared" si="5"/>
        <v>1</v>
      </c>
      <c r="I98" s="380"/>
      <c r="J98" s="380"/>
      <c r="K98" s="380"/>
      <c r="L98" s="380"/>
    </row>
    <row r="99" spans="1:12" s="660" customFormat="1" ht="12.75" thickBot="1">
      <c r="A99" s="309" t="s">
        <v>23</v>
      </c>
      <c r="B99" s="753">
        <v>8</v>
      </c>
      <c r="C99" s="358" t="s">
        <v>1376</v>
      </c>
      <c r="D99" s="1241">
        <f>+D87+D88+D89+D90+D91+D92+D93+D94+D95+D96+D97+D98</f>
        <v>134845000</v>
      </c>
      <c r="E99" s="1241">
        <f>+E87+E88+E89+E90+E91+E92+E93+E94+E95+E96+E97+E98</f>
        <v>124099552</v>
      </c>
      <c r="F99" s="1241">
        <f>+F87+F88+F89+F90+F91+F92+F93+F94+F95+F96+F97+F98</f>
        <v>124099552</v>
      </c>
      <c r="G99" s="1635">
        <f t="shared" si="5"/>
        <v>1</v>
      </c>
      <c r="I99" s="548">
        <f>+'1.mell._Össz_Mérleg2019'!D17</f>
        <v>124100</v>
      </c>
      <c r="J99" s="548">
        <f>+ROUND(E99/1000,0)-I99</f>
        <v>0</v>
      </c>
      <c r="K99" s="548">
        <f>+'1.mell._Össz_Mérleg2019'!E17</f>
        <v>124100</v>
      </c>
      <c r="L99" s="548">
        <f>+ROUND(F99/1000,0)-K99</f>
        <v>0</v>
      </c>
    </row>
    <row r="100" spans="1:12" s="659" customFormat="1">
      <c r="A100" s="313" t="s">
        <v>4</v>
      </c>
      <c r="B100" s="738"/>
      <c r="C100" s="356" t="s">
        <v>30</v>
      </c>
      <c r="D100" s="1239"/>
      <c r="E100" s="1239"/>
      <c r="F100" s="1239"/>
      <c r="G100" s="1665" t="str">
        <f t="shared" ref="G100:G133" si="6">IF(ISERROR(F100/E100),"-",F100/E100)</f>
        <v>-</v>
      </c>
      <c r="I100" s="380"/>
      <c r="J100" s="380"/>
      <c r="K100" s="380"/>
      <c r="L100" s="380"/>
    </row>
    <row r="101" spans="1:12" s="659" customFormat="1">
      <c r="A101" s="313" t="s">
        <v>5</v>
      </c>
      <c r="B101" s="738"/>
      <c r="C101" s="356" t="s">
        <v>28</v>
      </c>
      <c r="D101" s="1239">
        <f>+D102+D103+D104</f>
        <v>0</v>
      </c>
      <c r="E101" s="1239">
        <f>+E102+E103+E104</f>
        <v>30000000</v>
      </c>
      <c r="F101" s="1239">
        <f>+F102+F103+F104</f>
        <v>30000000</v>
      </c>
      <c r="G101" s="1665">
        <f t="shared" si="6"/>
        <v>1</v>
      </c>
      <c r="I101" s="380"/>
      <c r="J101" s="380"/>
      <c r="K101" s="380"/>
      <c r="L101" s="380"/>
    </row>
    <row r="102" spans="1:12" s="659" customFormat="1">
      <c r="A102" s="313" t="s">
        <v>573</v>
      </c>
      <c r="B102" s="738"/>
      <c r="C102" s="374" t="s">
        <v>591</v>
      </c>
      <c r="D102" s="1239"/>
      <c r="E102" s="1239"/>
      <c r="F102" s="1239"/>
      <c r="G102" s="1665" t="str">
        <f t="shared" si="6"/>
        <v>-</v>
      </c>
      <c r="I102" s="380"/>
      <c r="J102" s="380"/>
      <c r="K102" s="380"/>
      <c r="L102" s="380"/>
    </row>
    <row r="103" spans="1:12" s="659" customFormat="1">
      <c r="A103" s="313" t="s">
        <v>564</v>
      </c>
      <c r="B103" s="738"/>
      <c r="C103" s="374" t="s">
        <v>592</v>
      </c>
      <c r="D103" s="1239"/>
      <c r="E103" s="1239"/>
      <c r="F103" s="1239"/>
      <c r="G103" s="1665" t="str">
        <f t="shared" si="6"/>
        <v>-</v>
      </c>
      <c r="I103" s="380"/>
      <c r="J103" s="380"/>
      <c r="K103" s="380"/>
      <c r="L103" s="380"/>
    </row>
    <row r="104" spans="1:12" s="659" customFormat="1">
      <c r="A104" s="313" t="s">
        <v>569</v>
      </c>
      <c r="B104" s="738"/>
      <c r="C104" s="374" t="s">
        <v>999</v>
      </c>
      <c r="D104" s="1239"/>
      <c r="E104" s="1239">
        <v>30000000</v>
      </c>
      <c r="F104" s="1239">
        <v>30000000</v>
      </c>
      <c r="G104" s="1665">
        <f t="shared" si="6"/>
        <v>1</v>
      </c>
      <c r="I104" s="380"/>
      <c r="J104" s="380"/>
      <c r="K104" s="380"/>
      <c r="L104" s="380"/>
    </row>
    <row r="105" spans="1:12" s="659" customFormat="1">
      <c r="A105" s="313" t="s">
        <v>6</v>
      </c>
      <c r="B105" s="738"/>
      <c r="C105" s="356" t="s">
        <v>1001</v>
      </c>
      <c r="D105" s="1239"/>
      <c r="E105" s="1239"/>
      <c r="F105" s="1239"/>
      <c r="G105" s="1665" t="str">
        <f t="shared" si="6"/>
        <v>-</v>
      </c>
      <c r="I105" s="380"/>
      <c r="J105" s="380"/>
      <c r="K105" s="380"/>
      <c r="L105" s="380"/>
    </row>
    <row r="106" spans="1:12" s="659" customFormat="1">
      <c r="A106" s="313" t="s">
        <v>3</v>
      </c>
      <c r="B106" s="738"/>
      <c r="C106" s="356" t="s">
        <v>884</v>
      </c>
      <c r="D106" s="1239">
        <f>+D107+D108+D109</f>
        <v>0</v>
      </c>
      <c r="E106" s="1239">
        <f>+E107+E108+E109</f>
        <v>2626000</v>
      </c>
      <c r="F106" s="1239">
        <f>+F107+F108+F109</f>
        <v>2626000</v>
      </c>
      <c r="G106" s="1665">
        <f t="shared" si="6"/>
        <v>1</v>
      </c>
      <c r="I106" s="380"/>
      <c r="J106" s="380"/>
      <c r="K106" s="380"/>
      <c r="L106" s="380"/>
    </row>
    <row r="107" spans="1:12" s="659" customFormat="1">
      <c r="A107" s="313" t="s">
        <v>573</v>
      </c>
      <c r="B107" s="738"/>
      <c r="C107" s="374" t="s">
        <v>885</v>
      </c>
      <c r="D107" s="1239"/>
      <c r="E107" s="1239">
        <v>2626000</v>
      </c>
      <c r="F107" s="1239">
        <v>2626000</v>
      </c>
      <c r="G107" s="1665">
        <f t="shared" si="6"/>
        <v>1</v>
      </c>
      <c r="I107" s="380"/>
      <c r="J107" s="380"/>
      <c r="K107" s="380"/>
      <c r="L107" s="380"/>
    </row>
    <row r="108" spans="1:12" s="659" customFormat="1">
      <c r="A108" s="313" t="s">
        <v>564</v>
      </c>
      <c r="B108" s="738"/>
      <c r="C108" s="374" t="s">
        <v>1000</v>
      </c>
      <c r="D108" s="1239"/>
      <c r="E108" s="1239"/>
      <c r="F108" s="1239"/>
      <c r="G108" s="1665" t="str">
        <f t="shared" si="6"/>
        <v>-</v>
      </c>
      <c r="I108" s="380"/>
      <c r="J108" s="380"/>
      <c r="K108" s="380"/>
      <c r="L108" s="380"/>
    </row>
    <row r="109" spans="1:12" s="659" customFormat="1">
      <c r="A109" s="313" t="s">
        <v>569</v>
      </c>
      <c r="B109" s="738"/>
      <c r="C109" s="374" t="s">
        <v>886</v>
      </c>
      <c r="D109" s="1239"/>
      <c r="E109" s="1239"/>
      <c r="F109" s="1239"/>
      <c r="G109" s="1665" t="str">
        <f t="shared" si="6"/>
        <v>-</v>
      </c>
      <c r="I109" s="380"/>
      <c r="J109" s="380"/>
      <c r="K109" s="380"/>
      <c r="L109" s="380"/>
    </row>
    <row r="110" spans="1:12" s="659" customFormat="1">
      <c r="A110" s="313" t="s">
        <v>16</v>
      </c>
      <c r="B110" s="738"/>
      <c r="C110" s="356" t="s">
        <v>29</v>
      </c>
      <c r="D110" s="1239"/>
      <c r="E110" s="1239"/>
      <c r="F110" s="1239"/>
      <c r="G110" s="1665" t="str">
        <f t="shared" si="6"/>
        <v>-</v>
      </c>
      <c r="I110" s="380"/>
      <c r="J110" s="380"/>
      <c r="K110" s="380"/>
      <c r="L110" s="380"/>
    </row>
    <row r="111" spans="1:12" s="659" customFormat="1">
      <c r="A111" s="313" t="s">
        <v>15</v>
      </c>
      <c r="B111" s="738"/>
      <c r="C111" s="733" t="s">
        <v>1377</v>
      </c>
      <c r="D111" s="1239"/>
      <c r="E111" s="1239"/>
      <c r="F111" s="1239"/>
      <c r="G111" s="1665" t="str">
        <f t="shared" si="6"/>
        <v>-</v>
      </c>
      <c r="I111" s="380"/>
      <c r="J111" s="380"/>
      <c r="K111" s="380"/>
      <c r="L111" s="380"/>
    </row>
    <row r="112" spans="1:12" s="659" customFormat="1">
      <c r="A112" s="367" t="s">
        <v>14</v>
      </c>
      <c r="B112" s="737"/>
      <c r="C112" s="357" t="s">
        <v>1143</v>
      </c>
      <c r="D112" s="1242"/>
      <c r="E112" s="1242"/>
      <c r="F112" s="1242"/>
      <c r="G112" s="1665" t="str">
        <f t="shared" si="6"/>
        <v>-</v>
      </c>
      <c r="I112" s="380"/>
      <c r="J112" s="380"/>
      <c r="K112" s="380"/>
      <c r="L112" s="380"/>
    </row>
    <row r="113" spans="1:12" s="659" customFormat="1">
      <c r="A113" s="367" t="s">
        <v>13</v>
      </c>
      <c r="B113" s="737"/>
      <c r="C113" s="357" t="s">
        <v>1206</v>
      </c>
      <c r="D113" s="1242"/>
      <c r="E113" s="1242"/>
      <c r="F113" s="1242"/>
      <c r="G113" s="1665" t="str">
        <f t="shared" si="6"/>
        <v>-</v>
      </c>
      <c r="I113" s="380"/>
      <c r="J113" s="380"/>
      <c r="K113" s="380"/>
      <c r="L113" s="380"/>
    </row>
    <row r="114" spans="1:12" s="659" customFormat="1">
      <c r="A114" s="367" t="s">
        <v>12</v>
      </c>
      <c r="B114" s="737"/>
      <c r="C114" s="357" t="s">
        <v>1144</v>
      </c>
      <c r="D114" s="1242"/>
      <c r="E114" s="1242"/>
      <c r="F114" s="1242"/>
      <c r="G114" s="1665" t="str">
        <f t="shared" si="6"/>
        <v>-</v>
      </c>
      <c r="I114" s="380"/>
      <c r="J114" s="380"/>
      <c r="K114" s="380"/>
      <c r="L114" s="380"/>
    </row>
    <row r="115" spans="1:12" s="659" customFormat="1">
      <c r="A115" s="367" t="s">
        <v>11</v>
      </c>
      <c r="B115" s="737"/>
      <c r="C115" s="357" t="s">
        <v>1145</v>
      </c>
      <c r="D115" s="1242"/>
      <c r="E115" s="1242"/>
      <c r="F115" s="1242"/>
      <c r="G115" s="1665" t="str">
        <f t="shared" si="6"/>
        <v>-</v>
      </c>
      <c r="I115" s="380"/>
      <c r="J115" s="380"/>
      <c r="K115" s="380"/>
      <c r="L115" s="380"/>
    </row>
    <row r="116" spans="1:12" s="659" customFormat="1">
      <c r="A116" s="367" t="s">
        <v>10</v>
      </c>
      <c r="B116" s="737"/>
      <c r="C116" s="357" t="s">
        <v>1207</v>
      </c>
      <c r="D116" s="1242"/>
      <c r="E116" s="1242"/>
      <c r="F116" s="1242"/>
      <c r="G116" s="1665" t="str">
        <f t="shared" si="6"/>
        <v>-</v>
      </c>
      <c r="I116" s="380"/>
      <c r="J116" s="380"/>
      <c r="K116" s="380"/>
      <c r="L116" s="380"/>
    </row>
    <row r="117" spans="1:12" s="659" customFormat="1">
      <c r="A117" s="367" t="s">
        <v>9</v>
      </c>
      <c r="B117" s="737"/>
      <c r="C117" s="357" t="s">
        <v>1378</v>
      </c>
      <c r="D117" s="1242"/>
      <c r="E117" s="1242"/>
      <c r="F117" s="1242"/>
      <c r="G117" s="1665" t="str">
        <f t="shared" si="6"/>
        <v>-</v>
      </c>
      <c r="I117" s="380"/>
      <c r="J117" s="380"/>
      <c r="K117" s="380"/>
      <c r="L117" s="380"/>
    </row>
    <row r="118" spans="1:12" s="659" customFormat="1">
      <c r="A118" s="367" t="s">
        <v>45</v>
      </c>
      <c r="B118" s="737"/>
      <c r="C118" s="357" t="s">
        <v>1379</v>
      </c>
      <c r="D118" s="1242"/>
      <c r="E118" s="1242"/>
      <c r="F118" s="1242"/>
      <c r="G118" s="1665" t="str">
        <f t="shared" si="6"/>
        <v>-</v>
      </c>
      <c r="I118" s="380"/>
      <c r="J118" s="380"/>
      <c r="K118" s="380"/>
      <c r="L118" s="380"/>
    </row>
    <row r="119" spans="1:12" s="659" customFormat="1">
      <c r="A119" s="367" t="s">
        <v>44</v>
      </c>
      <c r="B119" s="737"/>
      <c r="C119" s="357" t="s">
        <v>1380</v>
      </c>
      <c r="D119" s="1242"/>
      <c r="E119" s="1242"/>
      <c r="F119" s="1242"/>
      <c r="G119" s="1665" t="str">
        <f t="shared" si="6"/>
        <v>-</v>
      </c>
      <c r="I119" s="380"/>
      <c r="J119" s="380"/>
      <c r="K119" s="380"/>
      <c r="L119" s="380"/>
    </row>
    <row r="120" spans="1:12" s="659" customFormat="1">
      <c r="A120" s="367" t="s">
        <v>43</v>
      </c>
      <c r="B120" s="737"/>
      <c r="C120" s="357" t="s">
        <v>1381</v>
      </c>
      <c r="D120" s="1242"/>
      <c r="E120" s="1242"/>
      <c r="F120" s="1242"/>
      <c r="G120" s="1665" t="str">
        <f t="shared" si="6"/>
        <v>-</v>
      </c>
      <c r="I120" s="380"/>
      <c r="J120" s="380"/>
      <c r="K120" s="380"/>
      <c r="L120" s="380"/>
    </row>
    <row r="121" spans="1:12" s="659" customFormat="1">
      <c r="A121" s="367" t="s">
        <v>40</v>
      </c>
      <c r="B121" s="737"/>
      <c r="C121" s="357" t="s">
        <v>1382</v>
      </c>
      <c r="D121" s="1242"/>
      <c r="E121" s="1242"/>
      <c r="F121" s="1242"/>
      <c r="G121" s="1665" t="str">
        <f t="shared" si="6"/>
        <v>-</v>
      </c>
      <c r="I121" s="380"/>
      <c r="J121" s="380"/>
      <c r="K121" s="380"/>
      <c r="L121" s="380"/>
    </row>
    <row r="122" spans="1:12" s="659" customFormat="1">
      <c r="A122" s="367" t="s">
        <v>39</v>
      </c>
      <c r="B122" s="737"/>
      <c r="C122" s="357" t="s">
        <v>1383</v>
      </c>
      <c r="D122" s="1242"/>
      <c r="E122" s="1242"/>
      <c r="F122" s="1242"/>
      <c r="G122" s="1665" t="str">
        <f t="shared" si="6"/>
        <v>-</v>
      </c>
      <c r="I122" s="380"/>
      <c r="J122" s="380"/>
      <c r="K122" s="380"/>
      <c r="L122" s="380"/>
    </row>
    <row r="123" spans="1:12" s="659" customFormat="1">
      <c r="A123" s="367" t="s">
        <v>38</v>
      </c>
      <c r="B123" s="737"/>
      <c r="C123" s="357" t="s">
        <v>1384</v>
      </c>
      <c r="D123" s="1242"/>
      <c r="E123" s="1242"/>
      <c r="F123" s="1242"/>
      <c r="G123" s="1665" t="str">
        <f t="shared" si="6"/>
        <v>-</v>
      </c>
      <c r="I123" s="380"/>
      <c r="J123" s="380"/>
      <c r="K123" s="380"/>
      <c r="L123" s="380"/>
    </row>
    <row r="124" spans="1:12" s="659" customFormat="1">
      <c r="A124" s="367" t="s">
        <v>36</v>
      </c>
      <c r="B124" s="737"/>
      <c r="C124" s="357" t="s">
        <v>1385</v>
      </c>
      <c r="D124" s="1242"/>
      <c r="E124" s="1242"/>
      <c r="F124" s="1242"/>
      <c r="G124" s="1665" t="str">
        <f t="shared" si="6"/>
        <v>-</v>
      </c>
      <c r="I124" s="380"/>
      <c r="J124" s="380"/>
      <c r="K124" s="380"/>
      <c r="L124" s="380"/>
    </row>
    <row r="125" spans="1:12" s="659" customFormat="1">
      <c r="A125" s="367" t="s">
        <v>35</v>
      </c>
      <c r="B125" s="737"/>
      <c r="C125" s="357" t="s">
        <v>1386</v>
      </c>
      <c r="D125" s="1242"/>
      <c r="E125" s="1242"/>
      <c r="F125" s="1242"/>
      <c r="G125" s="1665" t="str">
        <f t="shared" si="6"/>
        <v>-</v>
      </c>
      <c r="I125" s="380"/>
      <c r="J125" s="380"/>
      <c r="K125" s="380"/>
      <c r="L125" s="380"/>
    </row>
    <row r="126" spans="1:12" s="659" customFormat="1">
      <c r="A126" s="367" t="s">
        <v>34</v>
      </c>
      <c r="B126" s="737"/>
      <c r="C126" s="357" t="s">
        <v>1387</v>
      </c>
      <c r="D126" s="1242"/>
      <c r="E126" s="1242"/>
      <c r="F126" s="1242"/>
      <c r="G126" s="1665" t="str">
        <f t="shared" si="6"/>
        <v>-</v>
      </c>
      <c r="I126" s="380"/>
      <c r="J126" s="380"/>
      <c r="K126" s="380"/>
      <c r="L126" s="380"/>
    </row>
    <row r="127" spans="1:12" s="659" customFormat="1">
      <c r="A127" s="367" t="s">
        <v>33</v>
      </c>
      <c r="B127" s="737"/>
      <c r="C127" s="357" t="s">
        <v>1388</v>
      </c>
      <c r="D127" s="1242"/>
      <c r="E127" s="1242"/>
      <c r="F127" s="1242"/>
      <c r="G127" s="1665" t="str">
        <f t="shared" si="6"/>
        <v>-</v>
      </c>
      <c r="I127" s="380"/>
      <c r="J127" s="380"/>
      <c r="K127" s="380"/>
      <c r="L127" s="380"/>
    </row>
    <row r="128" spans="1:12" s="659" customFormat="1">
      <c r="A128" s="367" t="s">
        <v>32</v>
      </c>
      <c r="B128" s="737"/>
      <c r="C128" s="357" t="s">
        <v>1389</v>
      </c>
      <c r="D128" s="1242"/>
      <c r="E128" s="1242"/>
      <c r="F128" s="1242"/>
      <c r="G128" s="1665" t="str">
        <f t="shared" si="6"/>
        <v>-</v>
      </c>
      <c r="I128" s="380"/>
      <c r="J128" s="380"/>
      <c r="K128" s="380"/>
      <c r="L128" s="380"/>
    </row>
    <row r="129" spans="1:12" s="659" customFormat="1">
      <c r="A129" s="367" t="s">
        <v>472</v>
      </c>
      <c r="B129" s="737"/>
      <c r="C129" s="357" t="s">
        <v>1390</v>
      </c>
      <c r="D129" s="1242"/>
      <c r="E129" s="1242"/>
      <c r="F129" s="1242"/>
      <c r="G129" s="1665" t="str">
        <f t="shared" si="6"/>
        <v>-</v>
      </c>
      <c r="I129" s="380"/>
      <c r="J129" s="380"/>
      <c r="K129" s="380"/>
      <c r="L129" s="380"/>
    </row>
    <row r="130" spans="1:12" s="659" customFormat="1">
      <c r="A130" s="367" t="s">
        <v>473</v>
      </c>
      <c r="B130" s="737"/>
      <c r="C130" s="357" t="s">
        <v>1391</v>
      </c>
      <c r="D130" s="1242"/>
      <c r="E130" s="1242"/>
      <c r="F130" s="1242"/>
      <c r="G130" s="1665" t="str">
        <f t="shared" si="6"/>
        <v>-</v>
      </c>
      <c r="I130" s="380"/>
      <c r="J130" s="380"/>
      <c r="K130" s="380"/>
      <c r="L130" s="380"/>
    </row>
    <row r="131" spans="1:12" s="659" customFormat="1" ht="12.75" thickBot="1">
      <c r="A131" s="367" t="s">
        <v>474</v>
      </c>
      <c r="B131" s="737"/>
      <c r="C131" s="357" t="s">
        <v>1566</v>
      </c>
      <c r="D131" s="1242"/>
      <c r="E131" s="1242">
        <v>350000000</v>
      </c>
      <c r="F131" s="1242">
        <v>350000000</v>
      </c>
      <c r="G131" s="1665">
        <f t="shared" si="6"/>
        <v>1</v>
      </c>
      <c r="I131" s="380"/>
      <c r="J131" s="380"/>
      <c r="K131" s="380"/>
      <c r="L131" s="380"/>
    </row>
    <row r="132" spans="1:12" s="660" customFormat="1" ht="12.75" thickBot="1">
      <c r="A132" s="309" t="s">
        <v>22</v>
      </c>
      <c r="B132" s="753">
        <v>8</v>
      </c>
      <c r="C132" s="358" t="s">
        <v>1565</v>
      </c>
      <c r="D132" s="1241">
        <f>D100+D101+D105+D106+D110+D111+D112+D113+D114+D115+D116+D117+D118+D119+D120+D121+D122+D123+D124+D125+D126+D127+D128+D129+D131</f>
        <v>0</v>
      </c>
      <c r="E132" s="1241">
        <f>E100+E101+E105+E106+E110+E111+E112+E113+E114+E115+E116+E117+E118+E119+E120+E121+E122+E123+E124+E125+E126+E127+E128+E129+E131</f>
        <v>382626000</v>
      </c>
      <c r="F132" s="1241">
        <f>F100+F101+F105+F106+F110+F111+F112+F113+F114+F115+F116+F117+F118+F119+F120+F121+F122+F123+F124+F125+F126+F127+F128+F129+F131</f>
        <v>382626000</v>
      </c>
      <c r="G132" s="1635">
        <f t="shared" si="6"/>
        <v>1</v>
      </c>
      <c r="I132" s="718"/>
      <c r="J132" s="718"/>
      <c r="K132" s="718"/>
      <c r="L132" s="718"/>
    </row>
    <row r="133" spans="1:12" s="659" customFormat="1" ht="12.75" thickBot="1">
      <c r="A133" s="313" t="s">
        <v>4</v>
      </c>
      <c r="B133" s="738"/>
      <c r="C133" s="356" t="s">
        <v>888</v>
      </c>
      <c r="D133" s="1239"/>
      <c r="E133" s="1239"/>
      <c r="F133" s="1239"/>
      <c r="G133" s="1665" t="str">
        <f t="shared" si="6"/>
        <v>-</v>
      </c>
      <c r="I133" s="380"/>
      <c r="J133" s="380"/>
      <c r="K133" s="380"/>
      <c r="L133" s="380"/>
    </row>
    <row r="134" spans="1:12" s="659" customFormat="1" ht="12.75" thickBot="1">
      <c r="A134" s="379" t="s">
        <v>21</v>
      </c>
      <c r="B134" s="753">
        <v>8</v>
      </c>
      <c r="C134" s="358" t="s">
        <v>979</v>
      </c>
      <c r="D134" s="1241">
        <f>+D133</f>
        <v>0</v>
      </c>
      <c r="E134" s="1241">
        <f>+E133</f>
        <v>0</v>
      </c>
      <c r="F134" s="1241">
        <f>+F133</f>
        <v>0</v>
      </c>
      <c r="G134" s="1635" t="str">
        <f t="shared" ref="G134:G135" si="7">IF(ISERROR(F134/E134),"-",F134/E134)</f>
        <v>-</v>
      </c>
      <c r="I134" s="548">
        <f>+'1.mell._Össz_Mérleg2019'!D52</f>
        <v>382626</v>
      </c>
      <c r="J134" s="548">
        <f>+ROUND((E134+E132)/1000,0)-I134</f>
        <v>0</v>
      </c>
      <c r="K134" s="548">
        <f>+'1.mell._Össz_Mérleg2019'!E52</f>
        <v>382626</v>
      </c>
      <c r="L134" s="548">
        <f>+ROUND((F134+F132)/1000,0)-K134</f>
        <v>0</v>
      </c>
    </row>
    <row r="135" spans="1:12" s="659" customFormat="1" ht="15.75" customHeight="1" thickBot="1">
      <c r="A135" s="370" t="s">
        <v>597</v>
      </c>
      <c r="B135" s="747"/>
      <c r="C135" s="358" t="s">
        <v>1205</v>
      </c>
      <c r="D135" s="1241">
        <f>+D99+D132+D134</f>
        <v>134845000</v>
      </c>
      <c r="E135" s="1241">
        <f>+E99+E132+E134</f>
        <v>506725552</v>
      </c>
      <c r="F135" s="1241">
        <f>+F99+F132+F134</f>
        <v>506725552</v>
      </c>
      <c r="G135" s="1635">
        <f t="shared" si="7"/>
        <v>1</v>
      </c>
      <c r="I135" s="548"/>
      <c r="J135" s="548"/>
      <c r="K135" s="548"/>
      <c r="L135" s="548"/>
    </row>
    <row r="136" spans="1:12" ht="12.75" thickBot="1">
      <c r="A136" s="370"/>
      <c r="B136" s="747"/>
      <c r="C136" s="358"/>
      <c r="D136" s="1241"/>
      <c r="E136" s="1241"/>
      <c r="F136" s="1241"/>
      <c r="G136" s="1635"/>
    </row>
    <row r="137" spans="1:12" ht="12.75" thickBot="1">
      <c r="A137" s="370" t="s">
        <v>598</v>
      </c>
      <c r="B137" s="747"/>
      <c r="C137" s="358" t="s">
        <v>980</v>
      </c>
      <c r="D137" s="1241">
        <f>+D84+D135</f>
        <v>888836363</v>
      </c>
      <c r="E137" s="1241">
        <f>+E84+E135</f>
        <v>1289898738</v>
      </c>
      <c r="F137" s="1241">
        <f>+F84+F135</f>
        <v>1289898738</v>
      </c>
      <c r="G137" s="1635">
        <f t="shared" ref="G137" si="8">IF(ISERROR(F137/E137),"-",F137/E137)</f>
        <v>1</v>
      </c>
      <c r="I137" s="548">
        <f>+'1.mell._Össz_Mérleg2019'!D12+'1.mell._Össz_Mérleg2019'!D52</f>
        <v>1289899</v>
      </c>
      <c r="J137" s="548">
        <f>+ROUND(E137/1000,0)-I137</f>
        <v>0</v>
      </c>
      <c r="K137" s="548">
        <f>+'1.mell._Össz_Mérleg2019'!E12+'1.mell._Össz_Mérleg2019'!E52</f>
        <v>1289899</v>
      </c>
      <c r="L137" s="548">
        <f>+ROUND(F137/1000,0)-K137</f>
        <v>0</v>
      </c>
    </row>
  </sheetData>
  <mergeCells count="4">
    <mergeCell ref="A3:G3"/>
    <mergeCell ref="A8:G8"/>
    <mergeCell ref="A86:G86"/>
    <mergeCell ref="D7:G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5" fitToHeight="2" orientation="portrait" r:id="rId1"/>
  <headerFooter>
    <oddHeader>&amp;C 10. melléklet - &amp;P. oldal</oddHeader>
  </headerFooter>
  <rowBreaks count="1" manualBreakCount="1">
    <brk id="84" max="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 codeName="Munka24">
    <tabColor rgb="FF00B0F0"/>
    <pageSetUpPr fitToPage="1"/>
  </sheetPr>
  <dimension ref="A1:O123"/>
  <sheetViews>
    <sheetView zoomScaleNormal="100" workbookViewId="0"/>
  </sheetViews>
  <sheetFormatPr defaultColWidth="68.85546875" defaultRowHeight="12"/>
  <cols>
    <col min="1" max="1" width="98.7109375" style="148" bestFit="1" customWidth="1"/>
    <col min="2" max="3" width="10.28515625" style="148" customWidth="1"/>
    <col min="4" max="4" width="10.5703125" style="148" customWidth="1"/>
    <col min="5" max="7" width="10.28515625" style="148" customWidth="1"/>
    <col min="8" max="8" width="10.28515625" style="1621" customWidth="1"/>
    <col min="9" max="10" width="10.28515625" style="148" customWidth="1"/>
    <col min="11" max="11" width="9.28515625" style="148" customWidth="1"/>
    <col min="12" max="14" width="9.28515625" style="148" hidden="1" customWidth="1"/>
    <col min="15" max="15" width="9.28515625" style="380" hidden="1" customWidth="1"/>
    <col min="16" max="47" width="9.28515625" style="148" customWidth="1"/>
    <col min="48" max="16384" width="68.85546875" style="148"/>
  </cols>
  <sheetData>
    <row r="1" spans="1:15" s="150" customFormat="1" ht="15.75">
      <c r="A1" s="1773"/>
      <c r="B1" s="394"/>
      <c r="C1" s="394"/>
      <c r="D1" s="394"/>
      <c r="E1" s="394"/>
      <c r="F1" s="394"/>
      <c r="G1" s="394"/>
      <c r="H1" s="1671"/>
      <c r="I1" s="394"/>
      <c r="J1" s="153" t="s">
        <v>512</v>
      </c>
      <c r="O1" s="792"/>
    </row>
    <row r="2" spans="1:15" s="150" customFormat="1" ht="15.75">
      <c r="A2" s="1773"/>
      <c r="B2" s="394"/>
      <c r="C2" s="394"/>
      <c r="D2" s="394"/>
      <c r="E2" s="394"/>
      <c r="F2" s="394"/>
      <c r="G2" s="394"/>
      <c r="H2" s="1671"/>
      <c r="I2" s="394"/>
      <c r="J2" s="153"/>
      <c r="O2" s="792"/>
    </row>
    <row r="3" spans="1:15" s="150" customFormat="1" ht="15.75">
      <c r="A3" s="1879" t="s">
        <v>331</v>
      </c>
      <c r="B3" s="1879"/>
      <c r="C3" s="1879"/>
      <c r="D3" s="1879"/>
      <c r="E3" s="1879"/>
      <c r="F3" s="1879"/>
      <c r="G3" s="1879"/>
      <c r="H3" s="1879"/>
      <c r="I3" s="1879"/>
      <c r="J3" s="1879"/>
      <c r="O3" s="792"/>
    </row>
    <row r="4" spans="1:15" s="150" customFormat="1" ht="15.75">
      <c r="A4" s="1879" t="s">
        <v>1190</v>
      </c>
      <c r="B4" s="1879"/>
      <c r="C4" s="1879"/>
      <c r="D4" s="1879"/>
      <c r="E4" s="1879"/>
      <c r="F4" s="1879"/>
      <c r="G4" s="1879"/>
      <c r="H4" s="1879"/>
      <c r="I4" s="1879"/>
      <c r="J4" s="1879"/>
      <c r="O4" s="792"/>
    </row>
    <row r="5" spans="1:15" ht="12.75" thickBot="1">
      <c r="A5" s="143"/>
      <c r="B5" s="143"/>
      <c r="C5" s="143"/>
      <c r="D5" s="143"/>
      <c r="E5" s="143"/>
      <c r="F5" s="143"/>
      <c r="G5" s="143"/>
      <c r="I5" s="1880" t="s">
        <v>49</v>
      </c>
      <c r="J5" s="1880"/>
    </row>
    <row r="6" spans="1:15" ht="48.75" thickBot="1">
      <c r="A6" s="673" t="s">
        <v>629</v>
      </c>
      <c r="B6" s="686" t="s">
        <v>615</v>
      </c>
      <c r="C6" s="395" t="s">
        <v>601</v>
      </c>
      <c r="D6" s="385" t="s">
        <v>1319</v>
      </c>
      <c r="E6" s="1101" t="s">
        <v>1553</v>
      </c>
      <c r="F6" s="6" t="s">
        <v>1554</v>
      </c>
      <c r="G6" s="881" t="s">
        <v>2646</v>
      </c>
      <c r="H6" s="1667" t="s">
        <v>2645</v>
      </c>
      <c r="I6" s="395" t="s">
        <v>614</v>
      </c>
      <c r="J6" s="707" t="s">
        <v>1320</v>
      </c>
    </row>
    <row r="7" spans="1:15" ht="13.5" customHeight="1" thickBot="1">
      <c r="A7" s="674">
        <v>1</v>
      </c>
      <c r="B7" s="687">
        <v>2</v>
      </c>
      <c r="C7" s="396">
        <v>3</v>
      </c>
      <c r="D7" s="384">
        <v>4</v>
      </c>
      <c r="E7" s="1881">
        <v>5</v>
      </c>
      <c r="F7" s="1882"/>
      <c r="G7" s="1882"/>
      <c r="H7" s="1883"/>
      <c r="I7" s="396">
        <v>6</v>
      </c>
      <c r="J7" s="708" t="s">
        <v>602</v>
      </c>
    </row>
    <row r="8" spans="1:15">
      <c r="A8" s="675" t="s">
        <v>608</v>
      </c>
      <c r="B8" s="397"/>
      <c r="C8" s="681"/>
      <c r="D8" s="383"/>
      <c r="E8" s="1257"/>
      <c r="F8" s="383"/>
      <c r="G8" s="383"/>
      <c r="H8" s="1669"/>
      <c r="I8" s="382"/>
      <c r="J8" s="709"/>
    </row>
    <row r="9" spans="1:15">
      <c r="A9" s="676" t="s">
        <v>1176</v>
      </c>
      <c r="B9" s="247">
        <f>3000+2000+13205+3500+2200+2800+15000+1000+300+421</f>
        <v>43426</v>
      </c>
      <c r="C9" s="682"/>
      <c r="D9" s="270"/>
      <c r="E9" s="269">
        <f>3000+2000+13205+3500+2200+2800+1000+15000</f>
        <v>42705</v>
      </c>
      <c r="F9" s="270">
        <v>18863</v>
      </c>
      <c r="G9" s="270">
        <f>3250+5892+9721</f>
        <v>18863</v>
      </c>
      <c r="H9" s="1642">
        <f t="shared" ref="H9:H64" si="0">IF(ISERROR(G9/F9),"-",G9/F9)</f>
        <v>1</v>
      </c>
      <c r="I9" s="381"/>
      <c r="J9" s="710">
        <f t="shared" ref="J9:J20" si="1">+B9-D9-MIN(F9,G9)</f>
        <v>24563</v>
      </c>
      <c r="O9" s="548">
        <f>+G9</f>
        <v>18863</v>
      </c>
    </row>
    <row r="10" spans="1:15">
      <c r="A10" s="676" t="s">
        <v>1239</v>
      </c>
      <c r="B10" s="247">
        <v>30352</v>
      </c>
      <c r="C10" s="682"/>
      <c r="D10" s="270"/>
      <c r="E10" s="269">
        <v>29999</v>
      </c>
      <c r="F10" s="270">
        <v>30352</v>
      </c>
      <c r="G10" s="270">
        <v>30352</v>
      </c>
      <c r="H10" s="1642">
        <f t="shared" si="0"/>
        <v>1</v>
      </c>
      <c r="I10" s="381">
        <v>20000</v>
      </c>
      <c r="J10" s="710">
        <f t="shared" si="1"/>
        <v>0</v>
      </c>
      <c r="O10" s="548">
        <f t="shared" ref="O10:O20" si="2">+ROUND(G10/1.27,0)</f>
        <v>23899</v>
      </c>
    </row>
    <row r="11" spans="1:15">
      <c r="A11" s="676" t="s">
        <v>1177</v>
      </c>
      <c r="B11" s="247">
        <v>0</v>
      </c>
      <c r="C11" s="682"/>
      <c r="D11" s="270"/>
      <c r="E11" s="269">
        <v>4000</v>
      </c>
      <c r="F11" s="270">
        <v>0</v>
      </c>
      <c r="G11" s="270"/>
      <c r="H11" s="1642" t="str">
        <f t="shared" si="0"/>
        <v>-</v>
      </c>
      <c r="I11" s="381"/>
      <c r="J11" s="710">
        <f t="shared" si="1"/>
        <v>0</v>
      </c>
      <c r="O11" s="548">
        <f t="shared" si="2"/>
        <v>0</v>
      </c>
    </row>
    <row r="12" spans="1:15">
      <c r="A12" s="676" t="s">
        <v>1178</v>
      </c>
      <c r="B12" s="247">
        <v>0</v>
      </c>
      <c r="C12" s="682"/>
      <c r="D12" s="270"/>
      <c r="E12" s="269">
        <v>6000</v>
      </c>
      <c r="F12" s="270">
        <v>0</v>
      </c>
      <c r="G12" s="270"/>
      <c r="H12" s="1642" t="str">
        <f t="shared" si="0"/>
        <v>-</v>
      </c>
      <c r="I12" s="381"/>
      <c r="J12" s="710">
        <f t="shared" si="1"/>
        <v>0</v>
      </c>
      <c r="O12" s="548">
        <f t="shared" si="2"/>
        <v>0</v>
      </c>
    </row>
    <row r="13" spans="1:15">
      <c r="A13" s="676" t="s">
        <v>1181</v>
      </c>
      <c r="B13" s="247">
        <f>9000-9000</f>
        <v>0</v>
      </c>
      <c r="C13" s="682"/>
      <c r="D13" s="270"/>
      <c r="E13" s="269">
        <f>9000-9000</f>
        <v>0</v>
      </c>
      <c r="F13" s="270">
        <f>(9000-9000)+0</f>
        <v>0</v>
      </c>
      <c r="G13" s="270"/>
      <c r="H13" s="1642" t="str">
        <f t="shared" si="0"/>
        <v>-</v>
      </c>
      <c r="I13" s="381"/>
      <c r="J13" s="710">
        <f t="shared" si="1"/>
        <v>0</v>
      </c>
      <c r="O13" s="548">
        <f t="shared" si="2"/>
        <v>0</v>
      </c>
    </row>
    <row r="14" spans="1:15">
      <c r="A14" s="676" t="s">
        <v>1240</v>
      </c>
      <c r="B14" s="247">
        <f>6000-6000</f>
        <v>0</v>
      </c>
      <c r="C14" s="682"/>
      <c r="D14" s="270"/>
      <c r="E14" s="269">
        <f>6000-6000</f>
        <v>0</v>
      </c>
      <c r="F14" s="270">
        <f>(6000-6000)+0</f>
        <v>0</v>
      </c>
      <c r="G14" s="270"/>
      <c r="H14" s="1642" t="str">
        <f t="shared" si="0"/>
        <v>-</v>
      </c>
      <c r="I14" s="381"/>
      <c r="J14" s="710">
        <f t="shared" si="1"/>
        <v>0</v>
      </c>
      <c r="O14" s="548">
        <f t="shared" si="2"/>
        <v>0</v>
      </c>
    </row>
    <row r="15" spans="1:15">
      <c r="A15" s="676" t="s">
        <v>1459</v>
      </c>
      <c r="B15" s="247">
        <f>9635+165</f>
        <v>9800</v>
      </c>
      <c r="C15" s="682"/>
      <c r="D15" s="270">
        <v>165</v>
      </c>
      <c r="E15" s="269">
        <v>9831</v>
      </c>
      <c r="F15" s="270">
        <v>9635</v>
      </c>
      <c r="G15" s="270">
        <v>9635</v>
      </c>
      <c r="H15" s="1642">
        <f t="shared" si="0"/>
        <v>1</v>
      </c>
      <c r="I15" s="381">
        <f>7497+2499</f>
        <v>9996</v>
      </c>
      <c r="J15" s="710">
        <f t="shared" si="1"/>
        <v>0</v>
      </c>
      <c r="L15" s="547"/>
      <c r="O15" s="548">
        <f t="shared" si="2"/>
        <v>7587</v>
      </c>
    </row>
    <row r="16" spans="1:15">
      <c r="A16" s="676" t="s">
        <v>1461</v>
      </c>
      <c r="B16" s="247">
        <v>3309</v>
      </c>
      <c r="C16" s="682"/>
      <c r="D16" s="270"/>
      <c r="E16" s="269">
        <v>500</v>
      </c>
      <c r="F16" s="270">
        <v>3309</v>
      </c>
      <c r="G16" s="270">
        <v>3309</v>
      </c>
      <c r="H16" s="1642">
        <f t="shared" si="0"/>
        <v>1</v>
      </c>
      <c r="I16" s="381"/>
      <c r="J16" s="710">
        <f t="shared" si="1"/>
        <v>0</v>
      </c>
      <c r="O16" s="548">
        <f t="shared" si="2"/>
        <v>2606</v>
      </c>
    </row>
    <row r="17" spans="1:15">
      <c r="A17" s="676" t="s">
        <v>1462</v>
      </c>
      <c r="B17" s="247">
        <f>6500-6500</f>
        <v>0</v>
      </c>
      <c r="C17" s="682"/>
      <c r="D17" s="270"/>
      <c r="E17" s="269">
        <f>6500-6500</f>
        <v>0</v>
      </c>
      <c r="F17" s="270">
        <f>(6500-6500)+0</f>
        <v>0</v>
      </c>
      <c r="G17" s="270"/>
      <c r="H17" s="1642" t="str">
        <f t="shared" si="0"/>
        <v>-</v>
      </c>
      <c r="I17" s="381"/>
      <c r="J17" s="710">
        <f t="shared" si="1"/>
        <v>0</v>
      </c>
      <c r="O17" s="548">
        <f t="shared" si="2"/>
        <v>0</v>
      </c>
    </row>
    <row r="18" spans="1:15">
      <c r="A18" s="676" t="s">
        <v>1464</v>
      </c>
      <c r="B18" s="247">
        <v>722</v>
      </c>
      <c r="C18" s="682"/>
      <c r="D18" s="270"/>
      <c r="E18" s="269">
        <v>1440</v>
      </c>
      <c r="F18" s="270">
        <v>722</v>
      </c>
      <c r="G18" s="270">
        <v>722</v>
      </c>
      <c r="H18" s="1642">
        <f t="shared" si="0"/>
        <v>1</v>
      </c>
      <c r="I18" s="381"/>
      <c r="J18" s="710">
        <f t="shared" si="1"/>
        <v>0</v>
      </c>
      <c r="O18" s="548">
        <f t="shared" si="2"/>
        <v>569</v>
      </c>
    </row>
    <row r="19" spans="1:15">
      <c r="A19" s="676" t="s">
        <v>1465</v>
      </c>
      <c r="B19" s="247">
        <v>0</v>
      </c>
      <c r="C19" s="682"/>
      <c r="D19" s="270"/>
      <c r="E19" s="269">
        <v>2000</v>
      </c>
      <c r="F19" s="270">
        <v>0</v>
      </c>
      <c r="G19" s="270"/>
      <c r="H19" s="1642" t="str">
        <f t="shared" si="0"/>
        <v>-</v>
      </c>
      <c r="I19" s="381"/>
      <c r="J19" s="710">
        <f t="shared" si="1"/>
        <v>0</v>
      </c>
      <c r="O19" s="548">
        <f t="shared" si="2"/>
        <v>0</v>
      </c>
    </row>
    <row r="20" spans="1:15">
      <c r="A20" s="676" t="s">
        <v>1487</v>
      </c>
      <c r="B20" s="247">
        <v>350000</v>
      </c>
      <c r="C20" s="682"/>
      <c r="D20" s="270"/>
      <c r="E20" s="269">
        <v>350000</v>
      </c>
      <c r="F20" s="270">
        <v>4750</v>
      </c>
      <c r="G20" s="270">
        <v>4750</v>
      </c>
      <c r="H20" s="1642">
        <f t="shared" si="0"/>
        <v>1</v>
      </c>
      <c r="I20" s="381">
        <v>4750</v>
      </c>
      <c r="J20" s="710">
        <f t="shared" si="1"/>
        <v>345250</v>
      </c>
      <c r="O20" s="548">
        <f t="shared" si="2"/>
        <v>3740</v>
      </c>
    </row>
    <row r="21" spans="1:15">
      <c r="A21" s="676" t="s">
        <v>1568</v>
      </c>
      <c r="B21" s="247">
        <v>0</v>
      </c>
      <c r="C21" s="682"/>
      <c r="D21" s="270"/>
      <c r="E21" s="269"/>
      <c r="F21" s="270">
        <v>0</v>
      </c>
      <c r="G21" s="270"/>
      <c r="H21" s="1642" t="str">
        <f t="shared" ref="H21:H26" si="3">IF(ISERROR(G21/F21),"-",G21/F21)</f>
        <v>-</v>
      </c>
      <c r="I21" s="381"/>
      <c r="J21" s="710">
        <f>+F21-G21</f>
        <v>0</v>
      </c>
      <c r="O21" s="548">
        <f t="shared" ref="O21:O26" si="4">+ROUND(G21/1.27,0)</f>
        <v>0</v>
      </c>
    </row>
    <row r="22" spans="1:15">
      <c r="A22" s="676" t="s">
        <v>2775</v>
      </c>
      <c r="B22" s="247">
        <v>3968</v>
      </c>
      <c r="C22" s="682"/>
      <c r="D22" s="270"/>
      <c r="E22" s="269"/>
      <c r="F22" s="270">
        <f>3968-722</f>
        <v>3246</v>
      </c>
      <c r="G22" s="270">
        <f>3968-722</f>
        <v>3246</v>
      </c>
      <c r="H22" s="1642">
        <f t="shared" si="3"/>
        <v>1</v>
      </c>
      <c r="I22" s="381"/>
      <c r="J22" s="710">
        <f>+F22-G22</f>
        <v>0</v>
      </c>
      <c r="O22" s="548">
        <f t="shared" si="4"/>
        <v>2556</v>
      </c>
    </row>
    <row r="23" spans="1:15">
      <c r="A23" s="676" t="s">
        <v>2777</v>
      </c>
      <c r="B23" s="247">
        <v>5627</v>
      </c>
      <c r="C23" s="682"/>
      <c r="D23" s="270"/>
      <c r="E23" s="269"/>
      <c r="F23" s="270">
        <v>5627</v>
      </c>
      <c r="G23" s="270">
        <v>5627</v>
      </c>
      <c r="H23" s="1642">
        <f t="shared" ref="H23:H25" si="5">IF(ISERROR(G23/F23),"-",G23/F23)</f>
        <v>1</v>
      </c>
      <c r="I23" s="381">
        <v>5627</v>
      </c>
      <c r="J23" s="710">
        <f t="shared" ref="J23:J25" si="6">+B23-D23-MIN(F23,G23)</f>
        <v>0</v>
      </c>
      <c r="O23" s="548">
        <f t="shared" si="4"/>
        <v>4431</v>
      </c>
    </row>
    <row r="24" spans="1:15">
      <c r="A24" s="676" t="s">
        <v>2778</v>
      </c>
      <c r="B24" s="247">
        <v>1641</v>
      </c>
      <c r="C24" s="682"/>
      <c r="D24" s="270"/>
      <c r="E24" s="269"/>
      <c r="F24" s="270">
        <v>1641</v>
      </c>
      <c r="G24" s="270">
        <v>1641</v>
      </c>
      <c r="H24" s="1642">
        <f t="shared" ref="H24" si="7">IF(ISERROR(G24/F24),"-",G24/F24)</f>
        <v>1</v>
      </c>
      <c r="I24" s="381"/>
      <c r="J24" s="710">
        <f t="shared" ref="J24" si="8">+B24-D24-MIN(F24,G24)</f>
        <v>0</v>
      </c>
      <c r="O24" s="548">
        <f t="shared" si="4"/>
        <v>1292</v>
      </c>
    </row>
    <row r="25" spans="1:15">
      <c r="A25" s="676" t="s">
        <v>2779</v>
      </c>
      <c r="B25" s="247">
        <v>834</v>
      </c>
      <c r="C25" s="682"/>
      <c r="D25" s="270"/>
      <c r="E25" s="269"/>
      <c r="F25" s="270">
        <v>834</v>
      </c>
      <c r="G25" s="270">
        <v>834</v>
      </c>
      <c r="H25" s="1642">
        <f t="shared" si="5"/>
        <v>1</v>
      </c>
      <c r="I25" s="381"/>
      <c r="J25" s="710">
        <f t="shared" si="6"/>
        <v>0</v>
      </c>
      <c r="O25" s="548">
        <f t="shared" si="4"/>
        <v>657</v>
      </c>
    </row>
    <row r="26" spans="1:15" ht="12.75" thickBot="1">
      <c r="A26" s="676" t="s">
        <v>2776</v>
      </c>
      <c r="B26" s="247">
        <v>2933</v>
      </c>
      <c r="C26" s="682"/>
      <c r="D26" s="270"/>
      <c r="E26" s="269"/>
      <c r="F26" s="270">
        <v>2933</v>
      </c>
      <c r="G26" s="270">
        <v>2933</v>
      </c>
      <c r="H26" s="1642">
        <f t="shared" si="3"/>
        <v>1</v>
      </c>
      <c r="I26" s="381"/>
      <c r="J26" s="710">
        <f t="shared" ref="J26" si="9">+B26-D26-MIN(F26,G26)</f>
        <v>0</v>
      </c>
      <c r="O26" s="548">
        <f t="shared" si="4"/>
        <v>2309</v>
      </c>
    </row>
    <row r="27" spans="1:15" ht="12.75" thickBot="1">
      <c r="A27" s="677" t="s">
        <v>609</v>
      </c>
      <c r="B27" s="280">
        <f>SUM(B8:B26)</f>
        <v>452612</v>
      </c>
      <c r="C27" s="683" t="s">
        <v>19</v>
      </c>
      <c r="D27" s="282">
        <f t="shared" ref="D27:J27" si="10">SUM(D8:D26)</f>
        <v>165</v>
      </c>
      <c r="E27" s="281">
        <f t="shared" si="10"/>
        <v>446475</v>
      </c>
      <c r="F27" s="282">
        <f t="shared" si="10"/>
        <v>81912</v>
      </c>
      <c r="G27" s="282">
        <f t="shared" si="10"/>
        <v>81912</v>
      </c>
      <c r="H27" s="1635">
        <f t="shared" si="0"/>
        <v>1</v>
      </c>
      <c r="I27" s="386">
        <f t="shared" si="10"/>
        <v>40373</v>
      </c>
      <c r="J27" s="262">
        <f t="shared" si="10"/>
        <v>369813</v>
      </c>
    </row>
    <row r="28" spans="1:15">
      <c r="A28" s="675" t="s">
        <v>877</v>
      </c>
      <c r="B28" s="397"/>
      <c r="C28" s="681"/>
      <c r="D28" s="383"/>
      <c r="E28" s="1257"/>
      <c r="F28" s="383"/>
      <c r="G28" s="383"/>
      <c r="H28" s="1669"/>
      <c r="I28" s="382"/>
      <c r="J28" s="709"/>
    </row>
    <row r="29" spans="1:15" ht="12.75" thickBot="1">
      <c r="A29" s="676" t="s">
        <v>2743</v>
      </c>
      <c r="B29" s="247">
        <v>2448</v>
      </c>
      <c r="C29" s="682"/>
      <c r="D29" s="270"/>
      <c r="E29" s="269"/>
      <c r="F29" s="270">
        <v>2448</v>
      </c>
      <c r="G29" s="270">
        <v>2448</v>
      </c>
      <c r="H29" s="1642">
        <f t="shared" si="0"/>
        <v>1</v>
      </c>
      <c r="I29" s="381"/>
      <c r="J29" s="710">
        <f t="shared" ref="J29" si="11">+B29-D29-MIN(F29,G29)</f>
        <v>0</v>
      </c>
      <c r="O29" s="548">
        <f t="shared" ref="O29" si="12">+ROUND(G29/1.27,0)</f>
        <v>1928</v>
      </c>
    </row>
    <row r="30" spans="1:15" ht="12.75" thickBot="1">
      <c r="A30" s="677" t="s">
        <v>878</v>
      </c>
      <c r="B30" s="280">
        <f>+B29</f>
        <v>2448</v>
      </c>
      <c r="C30" s="683" t="s">
        <v>19</v>
      </c>
      <c r="D30" s="282">
        <f t="shared" ref="D30:J30" si="13">+D29</f>
        <v>0</v>
      </c>
      <c r="E30" s="281">
        <f t="shared" si="13"/>
        <v>0</v>
      </c>
      <c r="F30" s="282">
        <f t="shared" si="13"/>
        <v>2448</v>
      </c>
      <c r="G30" s="282">
        <f t="shared" si="13"/>
        <v>2448</v>
      </c>
      <c r="H30" s="1635">
        <f t="shared" si="0"/>
        <v>1</v>
      </c>
      <c r="I30" s="386">
        <f t="shared" si="13"/>
        <v>0</v>
      </c>
      <c r="J30" s="262">
        <f t="shared" si="13"/>
        <v>0</v>
      </c>
    </row>
    <row r="31" spans="1:15">
      <c r="A31" s="675" t="s">
        <v>610</v>
      </c>
      <c r="B31" s="397"/>
      <c r="C31" s="681"/>
      <c r="D31" s="383"/>
      <c r="E31" s="1257"/>
      <c r="F31" s="383"/>
      <c r="G31" s="383"/>
      <c r="H31" s="1669"/>
      <c r="I31" s="382"/>
      <c r="J31" s="709"/>
      <c r="O31" s="548"/>
    </row>
    <row r="32" spans="1:15">
      <c r="A32" s="676" t="s">
        <v>2742</v>
      </c>
      <c r="B32" s="247">
        <v>1499</v>
      </c>
      <c r="C32" s="682"/>
      <c r="D32" s="270"/>
      <c r="E32" s="269">
        <f>1600-800</f>
        <v>800</v>
      </c>
      <c r="F32" s="270">
        <f>884+615</f>
        <v>1499</v>
      </c>
      <c r="G32" s="270">
        <f>884+615</f>
        <v>1499</v>
      </c>
      <c r="H32" s="1642">
        <f t="shared" ref="H32" si="14">IF(ISERROR(G32/F32),"-",G32/F32)</f>
        <v>1</v>
      </c>
      <c r="I32" s="381"/>
      <c r="J32" s="710">
        <f t="shared" ref="J32" si="15">+B32-D32-MIN(F32,G32)</f>
        <v>0</v>
      </c>
      <c r="O32" s="548">
        <f>+ROUND(G32/1.27,0)</f>
        <v>1180</v>
      </c>
    </row>
    <row r="33" spans="1:15" ht="12.75" thickBot="1">
      <c r="A33" s="676" t="s">
        <v>2741</v>
      </c>
      <c r="B33" s="247">
        <v>5196</v>
      </c>
      <c r="C33" s="682"/>
      <c r="D33" s="270"/>
      <c r="E33" s="269"/>
      <c r="F33" s="270">
        <v>5196</v>
      </c>
      <c r="G33" s="270">
        <v>5196</v>
      </c>
      <c r="H33" s="1642">
        <f t="shared" si="0"/>
        <v>1</v>
      </c>
      <c r="I33" s="381"/>
      <c r="J33" s="710">
        <f t="shared" ref="J33" si="16">+B33-D33-MIN(F33,G33)</f>
        <v>0</v>
      </c>
      <c r="O33" s="548">
        <f>+ROUND(G33/1.27,0)</f>
        <v>4091</v>
      </c>
    </row>
    <row r="34" spans="1:15" ht="12.75" thickBot="1">
      <c r="A34" s="677" t="s">
        <v>611</v>
      </c>
      <c r="B34" s="280">
        <f>SUM(B32:B33)</f>
        <v>6695</v>
      </c>
      <c r="C34" s="683" t="s">
        <v>19</v>
      </c>
      <c r="D34" s="282">
        <f t="shared" ref="D34:G34" si="17">SUM(D32:D33)</f>
        <v>0</v>
      </c>
      <c r="E34" s="281">
        <f t="shared" si="17"/>
        <v>800</v>
      </c>
      <c r="F34" s="282">
        <f t="shared" si="17"/>
        <v>6695</v>
      </c>
      <c r="G34" s="282">
        <f t="shared" si="17"/>
        <v>6695</v>
      </c>
      <c r="H34" s="1635">
        <f t="shared" si="0"/>
        <v>1</v>
      </c>
      <c r="I34" s="386">
        <f>SUM(I32:I33)</f>
        <v>0</v>
      </c>
      <c r="J34" s="262">
        <f>SUM(J32:J33)</f>
        <v>0</v>
      </c>
    </row>
    <row r="35" spans="1:15">
      <c r="A35" s="675" t="s">
        <v>612</v>
      </c>
      <c r="B35" s="397"/>
      <c r="C35" s="681"/>
      <c r="D35" s="383"/>
      <c r="E35" s="1257"/>
      <c r="F35" s="383"/>
      <c r="G35" s="383"/>
      <c r="H35" s="1669"/>
      <c r="I35" s="382"/>
      <c r="J35" s="709"/>
    </row>
    <row r="36" spans="1:15">
      <c r="A36" s="676" t="s">
        <v>1460</v>
      </c>
      <c r="B36" s="247">
        <v>0</v>
      </c>
      <c r="C36" s="682"/>
      <c r="D36" s="270"/>
      <c r="E36" s="269">
        <v>8543</v>
      </c>
      <c r="F36" s="270">
        <v>0</v>
      </c>
      <c r="G36" s="270"/>
      <c r="H36" s="1642" t="str">
        <f t="shared" si="0"/>
        <v>-</v>
      </c>
      <c r="I36" s="381">
        <v>0</v>
      </c>
      <c r="J36" s="710">
        <f t="shared" ref="J36:J38" si="18">+B36-D36-MIN(F36,G36)</f>
        <v>0</v>
      </c>
      <c r="O36" s="548">
        <f>+ROUND(G36/1.27,0)</f>
        <v>0</v>
      </c>
    </row>
    <row r="37" spans="1:15">
      <c r="A37" s="676" t="s">
        <v>1466</v>
      </c>
      <c r="B37" s="247">
        <v>0</v>
      </c>
      <c r="C37" s="682"/>
      <c r="D37" s="270"/>
      <c r="E37" s="269">
        <f>6096-4096</f>
        <v>2000</v>
      </c>
      <c r="F37" s="270">
        <v>0</v>
      </c>
      <c r="G37" s="270"/>
      <c r="H37" s="1642" t="str">
        <f t="shared" si="0"/>
        <v>-</v>
      </c>
      <c r="I37" s="381"/>
      <c r="J37" s="710">
        <f t="shared" si="18"/>
        <v>0</v>
      </c>
      <c r="O37" s="548">
        <f>+ROUND(G37/1.27,0)</f>
        <v>0</v>
      </c>
    </row>
    <row r="38" spans="1:15" ht="12.75" thickBot="1">
      <c r="A38" s="676" t="s">
        <v>1180</v>
      </c>
      <c r="B38" s="247">
        <v>0</v>
      </c>
      <c r="C38" s="682"/>
      <c r="D38" s="270"/>
      <c r="E38" s="269">
        <v>508</v>
      </c>
      <c r="F38" s="270">
        <v>0</v>
      </c>
      <c r="G38" s="270"/>
      <c r="H38" s="1642" t="str">
        <f t="shared" si="0"/>
        <v>-</v>
      </c>
      <c r="I38" s="381"/>
      <c r="J38" s="710">
        <f t="shared" si="18"/>
        <v>0</v>
      </c>
      <c r="O38" s="548">
        <f>+ROUND(G38/1.27,0)</f>
        <v>0</v>
      </c>
    </row>
    <row r="39" spans="1:15" ht="12.75" thickBot="1">
      <c r="A39" s="677" t="s">
        <v>613</v>
      </c>
      <c r="B39" s="280">
        <f>SUM(B36:B38)</f>
        <v>0</v>
      </c>
      <c r="C39" s="683" t="s">
        <v>19</v>
      </c>
      <c r="D39" s="282">
        <f t="shared" ref="D39:J39" si="19">SUM(D36:D38)</f>
        <v>0</v>
      </c>
      <c r="E39" s="281">
        <f t="shared" si="19"/>
        <v>11051</v>
      </c>
      <c r="F39" s="282">
        <f t="shared" ref="F39:G39" si="20">SUM(F36:F38)</f>
        <v>0</v>
      </c>
      <c r="G39" s="282">
        <f t="shared" si="20"/>
        <v>0</v>
      </c>
      <c r="H39" s="1635" t="str">
        <f t="shared" si="0"/>
        <v>-</v>
      </c>
      <c r="I39" s="386">
        <f t="shared" si="19"/>
        <v>0</v>
      </c>
      <c r="J39" s="262">
        <f t="shared" si="19"/>
        <v>0</v>
      </c>
    </row>
    <row r="40" spans="1:15">
      <c r="A40" s="675" t="s">
        <v>868</v>
      </c>
      <c r="B40" s="397"/>
      <c r="C40" s="681"/>
      <c r="D40" s="383"/>
      <c r="E40" s="1257"/>
      <c r="F40" s="383"/>
      <c r="G40" s="383"/>
      <c r="H40" s="1669"/>
      <c r="I40" s="382"/>
      <c r="J40" s="709"/>
    </row>
    <row r="41" spans="1:15">
      <c r="A41" s="676" t="s">
        <v>1179</v>
      </c>
      <c r="B41" s="247">
        <v>0</v>
      </c>
      <c r="C41" s="682" t="s">
        <v>460</v>
      </c>
      <c r="D41" s="270"/>
      <c r="E41" s="269">
        <f>500+1300+1500-2000</f>
        <v>1300</v>
      </c>
      <c r="F41" s="270">
        <v>0</v>
      </c>
      <c r="G41" s="270"/>
      <c r="H41" s="1642" t="str">
        <f t="shared" ref="H41" si="21">IF(ISERROR(G41/F41),"-",G41/F41)</f>
        <v>-</v>
      </c>
      <c r="I41" s="381"/>
      <c r="J41" s="710">
        <f t="shared" ref="J41" si="22">+B41-D41-MIN(F41,G41)</f>
        <v>0</v>
      </c>
      <c r="O41" s="548">
        <f>+ROUND(G41/1.27,0)</f>
        <v>0</v>
      </c>
    </row>
    <row r="42" spans="1:15" ht="12.75" thickBot="1">
      <c r="A42" s="676" t="s">
        <v>1180</v>
      </c>
      <c r="B42" s="247">
        <v>288</v>
      </c>
      <c r="C42" s="682" t="s">
        <v>460</v>
      </c>
      <c r="D42" s="270"/>
      <c r="E42" s="269"/>
      <c r="F42" s="270">
        <v>288</v>
      </c>
      <c r="G42" s="270">
        <v>288</v>
      </c>
      <c r="H42" s="1642">
        <f t="shared" si="0"/>
        <v>1</v>
      </c>
      <c r="I42" s="381"/>
      <c r="J42" s="710">
        <f t="shared" ref="J42" si="23">+B42-D42-MIN(F42,G42)</f>
        <v>0</v>
      </c>
      <c r="O42" s="548">
        <f>+ROUND(G42/1.27,0)</f>
        <v>227</v>
      </c>
    </row>
    <row r="43" spans="1:15" ht="12.75" thickBot="1">
      <c r="A43" s="677" t="s">
        <v>867</v>
      </c>
      <c r="B43" s="280">
        <f>SUM(B41:B42)</f>
        <v>288</v>
      </c>
      <c r="C43" s="683" t="s">
        <v>19</v>
      </c>
      <c r="D43" s="282">
        <f t="shared" ref="D43" si="24">+D42+D41</f>
        <v>0</v>
      </c>
      <c r="E43" s="281">
        <f t="shared" ref="E43:G43" si="25">SUM(E41:E42)</f>
        <v>1300</v>
      </c>
      <c r="F43" s="282">
        <f t="shared" si="25"/>
        <v>288</v>
      </c>
      <c r="G43" s="282">
        <f t="shared" si="25"/>
        <v>288</v>
      </c>
      <c r="H43" s="1635">
        <f t="shared" si="0"/>
        <v>1</v>
      </c>
      <c r="I43" s="386">
        <f t="shared" ref="I43:J43" si="26">SUM(I41:I42)</f>
        <v>0</v>
      </c>
      <c r="J43" s="262">
        <f t="shared" si="26"/>
        <v>0</v>
      </c>
    </row>
    <row r="44" spans="1:15">
      <c r="A44" s="675" t="s">
        <v>1321</v>
      </c>
      <c r="B44" s="397"/>
      <c r="C44" s="681"/>
      <c r="D44" s="383"/>
      <c r="E44" s="1257"/>
      <c r="F44" s="383"/>
      <c r="G44" s="383"/>
      <c r="H44" s="1669"/>
      <c r="I44" s="382"/>
      <c r="J44" s="709"/>
    </row>
    <row r="45" spans="1:15">
      <c r="A45" s="676" t="s">
        <v>2744</v>
      </c>
      <c r="B45" s="247">
        <v>13000</v>
      </c>
      <c r="C45" s="682"/>
      <c r="D45" s="270"/>
      <c r="E45" s="269"/>
      <c r="F45" s="270">
        <v>13000</v>
      </c>
      <c r="G45" s="270">
        <v>13000</v>
      </c>
      <c r="H45" s="1642">
        <f t="shared" ref="H45:H49" si="27">IF(ISERROR(G45/F45),"-",G45/F45)</f>
        <v>1</v>
      </c>
      <c r="I45" s="381"/>
      <c r="J45" s="710">
        <f t="shared" ref="J45:J49" si="28">+B45-D45-MIN(F45,G45)</f>
        <v>0</v>
      </c>
      <c r="O45" s="548">
        <f t="shared" ref="O45:O50" si="29">+ROUND(G45/1.27,0)</f>
        <v>10236</v>
      </c>
    </row>
    <row r="46" spans="1:15">
      <c r="A46" s="676" t="s">
        <v>2745</v>
      </c>
      <c r="B46" s="247">
        <v>1229</v>
      </c>
      <c r="C46" s="682"/>
      <c r="D46" s="270"/>
      <c r="E46" s="269"/>
      <c r="F46" s="270">
        <v>1229</v>
      </c>
      <c r="G46" s="270">
        <v>1229</v>
      </c>
      <c r="H46" s="1642">
        <f t="shared" si="27"/>
        <v>1</v>
      </c>
      <c r="I46" s="381"/>
      <c r="J46" s="710">
        <f t="shared" si="28"/>
        <v>0</v>
      </c>
      <c r="O46" s="548">
        <f t="shared" si="29"/>
        <v>968</v>
      </c>
    </row>
    <row r="47" spans="1:15">
      <c r="A47" s="676" t="s">
        <v>1466</v>
      </c>
      <c r="B47" s="247">
        <v>3661</v>
      </c>
      <c r="C47" s="682"/>
      <c r="D47" s="270"/>
      <c r="E47" s="269"/>
      <c r="F47" s="270">
        <v>3661</v>
      </c>
      <c r="G47" s="270">
        <v>3661</v>
      </c>
      <c r="H47" s="1642">
        <f t="shared" si="27"/>
        <v>1</v>
      </c>
      <c r="I47" s="381"/>
      <c r="J47" s="710">
        <f t="shared" si="28"/>
        <v>0</v>
      </c>
      <c r="O47" s="548">
        <f t="shared" si="29"/>
        <v>2883</v>
      </c>
    </row>
    <row r="48" spans="1:15">
      <c r="A48" s="676" t="s">
        <v>2746</v>
      </c>
      <c r="B48" s="247">
        <v>12199</v>
      </c>
      <c r="C48" s="682"/>
      <c r="D48" s="270"/>
      <c r="E48" s="269"/>
      <c r="F48" s="270">
        <v>12199</v>
      </c>
      <c r="G48" s="270">
        <v>12199</v>
      </c>
      <c r="H48" s="1642">
        <f t="shared" si="27"/>
        <v>1</v>
      </c>
      <c r="I48" s="381"/>
      <c r="J48" s="710">
        <f t="shared" si="28"/>
        <v>0</v>
      </c>
      <c r="O48" s="548">
        <f t="shared" si="29"/>
        <v>9606</v>
      </c>
    </row>
    <row r="49" spans="1:15">
      <c r="A49" s="676" t="s">
        <v>2747</v>
      </c>
      <c r="B49" s="247">
        <v>2680</v>
      </c>
      <c r="C49" s="682"/>
      <c r="D49" s="270"/>
      <c r="E49" s="269"/>
      <c r="F49" s="270">
        <v>2680</v>
      </c>
      <c r="G49" s="270">
        <v>2680</v>
      </c>
      <c r="H49" s="1642">
        <f t="shared" si="27"/>
        <v>1</v>
      </c>
      <c r="I49" s="381"/>
      <c r="J49" s="710">
        <f t="shared" si="28"/>
        <v>0</v>
      </c>
      <c r="O49" s="548">
        <f t="shared" si="29"/>
        <v>2110</v>
      </c>
    </row>
    <row r="50" spans="1:15" ht="12.75" thickBot="1">
      <c r="A50" s="676" t="s">
        <v>2748</v>
      </c>
      <c r="B50" s="247">
        <v>4877</v>
      </c>
      <c r="C50" s="682"/>
      <c r="D50" s="270"/>
      <c r="E50" s="269"/>
      <c r="F50" s="270">
        <v>4877</v>
      </c>
      <c r="G50" s="270">
        <v>4877</v>
      </c>
      <c r="H50" s="1642">
        <f t="shared" si="0"/>
        <v>1</v>
      </c>
      <c r="I50" s="381"/>
      <c r="J50" s="710">
        <f t="shared" ref="J50" si="30">+B50-D50-MIN(F50,G50)</f>
        <v>0</v>
      </c>
      <c r="O50" s="548">
        <f t="shared" si="29"/>
        <v>3840</v>
      </c>
    </row>
    <row r="51" spans="1:15" ht="12.75" thickBot="1">
      <c r="A51" s="677" t="s">
        <v>1322</v>
      </c>
      <c r="B51" s="280">
        <f>SUM(B45:B50)</f>
        <v>37646</v>
      </c>
      <c r="C51" s="683" t="s">
        <v>19</v>
      </c>
      <c r="D51" s="282">
        <f t="shared" ref="D51:G51" si="31">SUM(D45:D50)</f>
        <v>0</v>
      </c>
      <c r="E51" s="281">
        <f t="shared" si="31"/>
        <v>0</v>
      </c>
      <c r="F51" s="282">
        <f t="shared" si="31"/>
        <v>37646</v>
      </c>
      <c r="G51" s="282">
        <f t="shared" si="31"/>
        <v>37646</v>
      </c>
      <c r="H51" s="1635">
        <f t="shared" si="0"/>
        <v>1</v>
      </c>
      <c r="I51" s="386">
        <f t="shared" ref="I51:J51" si="32">SUM(I45:I50)</f>
        <v>0</v>
      </c>
      <c r="J51" s="262">
        <f t="shared" si="32"/>
        <v>0</v>
      </c>
    </row>
    <row r="52" spans="1:15">
      <c r="A52" s="678" t="s">
        <v>624</v>
      </c>
      <c r="B52" s="398"/>
      <c r="C52" s="684"/>
      <c r="D52" s="387"/>
      <c r="E52" s="246"/>
      <c r="F52" s="387"/>
      <c r="G52" s="387"/>
      <c r="H52" s="1634"/>
      <c r="I52" s="388"/>
      <c r="J52" s="711"/>
    </row>
    <row r="53" spans="1:15">
      <c r="A53" s="676" t="s">
        <v>1463</v>
      </c>
      <c r="B53" s="247">
        <v>0</v>
      </c>
      <c r="C53" s="682"/>
      <c r="D53" s="270"/>
      <c r="E53" s="269">
        <v>6672</v>
      </c>
      <c r="F53" s="270">
        <v>0</v>
      </c>
      <c r="G53" s="270"/>
      <c r="H53" s="1642" t="str">
        <f t="shared" ref="H53" si="33">IF(ISERROR(G53/F53),"-",G53/F53)</f>
        <v>-</v>
      </c>
      <c r="I53" s="381"/>
      <c r="J53" s="710">
        <f t="shared" ref="J53" si="34">+B53-D53-MIN(F53,G53)</f>
        <v>0</v>
      </c>
      <c r="O53" s="548">
        <f t="shared" ref="O53:O61" si="35">+ROUND(G53/1.27,0)</f>
        <v>0</v>
      </c>
    </row>
    <row r="54" spans="1:15">
      <c r="A54" s="676" t="s">
        <v>1504</v>
      </c>
      <c r="B54" s="247">
        <v>15411</v>
      </c>
      <c r="C54" s="682"/>
      <c r="D54" s="270"/>
      <c r="E54" s="269"/>
      <c r="F54" s="270">
        <v>15411</v>
      </c>
      <c r="G54" s="270">
        <v>15411</v>
      </c>
      <c r="H54" s="1642">
        <f t="shared" ref="H54" si="36">IF(ISERROR(G54/F54),"-",G54/F54)</f>
        <v>1</v>
      </c>
      <c r="I54" s="381">
        <v>15411</v>
      </c>
      <c r="J54" s="710">
        <f t="shared" ref="J54" si="37">+B54-D54-MIN(F54,G54)</f>
        <v>0</v>
      </c>
      <c r="O54" s="548">
        <f t="shared" si="35"/>
        <v>12135</v>
      </c>
    </row>
    <row r="55" spans="1:15" ht="24">
      <c r="A55" s="676" t="s">
        <v>1242</v>
      </c>
      <c r="B55" s="247">
        <v>6696</v>
      </c>
      <c r="C55" s="682"/>
      <c r="D55" s="270"/>
      <c r="E55" s="269"/>
      <c r="F55" s="270">
        <v>6696</v>
      </c>
      <c r="G55" s="270">
        <v>6696</v>
      </c>
      <c r="H55" s="1642">
        <f t="shared" ref="H55" si="38">IF(ISERROR(G55/F55),"-",G55/F55)</f>
        <v>1</v>
      </c>
      <c r="I55" s="381">
        <v>6696</v>
      </c>
      <c r="J55" s="710">
        <f t="shared" ref="J55" si="39">+B55-D55-MIN(F55,G55)</f>
        <v>0</v>
      </c>
      <c r="O55" s="548">
        <f t="shared" si="35"/>
        <v>5272</v>
      </c>
    </row>
    <row r="56" spans="1:15">
      <c r="A56" s="676" t="s">
        <v>1244</v>
      </c>
      <c r="B56" s="247">
        <v>289073</v>
      </c>
      <c r="C56" s="682"/>
      <c r="D56" s="270"/>
      <c r="E56" s="269"/>
      <c r="F56" s="270">
        <v>289073</v>
      </c>
      <c r="G56" s="270">
        <v>289073</v>
      </c>
      <c r="H56" s="1642">
        <f t="shared" ref="H56" si="40">IF(ISERROR(G56/F56),"-",G56/F56)</f>
        <v>1</v>
      </c>
      <c r="I56" s="381">
        <v>289073</v>
      </c>
      <c r="J56" s="710">
        <f t="shared" ref="J56" si="41">+B56-D56-MIN(F56,G56)</f>
        <v>0</v>
      </c>
      <c r="O56" s="548">
        <f t="shared" si="35"/>
        <v>227617</v>
      </c>
    </row>
    <row r="57" spans="1:15">
      <c r="A57" s="676" t="s">
        <v>1245</v>
      </c>
      <c r="B57" s="247"/>
      <c r="C57" s="682"/>
      <c r="D57" s="270"/>
      <c r="E57" s="269"/>
      <c r="F57" s="270"/>
      <c r="G57" s="270"/>
      <c r="H57" s="1642" t="str">
        <f t="shared" ref="H57" si="42">IF(ISERROR(G57/F57),"-",G57/F57)</f>
        <v>-</v>
      </c>
      <c r="I57" s="381"/>
      <c r="J57" s="710">
        <f t="shared" ref="J57" si="43">+B57-D57-MIN(F57,G57)</f>
        <v>0</v>
      </c>
      <c r="O57" s="548">
        <f t="shared" si="35"/>
        <v>0</v>
      </c>
    </row>
    <row r="58" spans="1:15">
      <c r="A58" s="676" t="s">
        <v>1246</v>
      </c>
      <c r="B58" s="247">
        <v>374946</v>
      </c>
      <c r="C58" s="682"/>
      <c r="D58" s="270"/>
      <c r="E58" s="269"/>
      <c r="F58" s="270">
        <v>374946</v>
      </c>
      <c r="G58" s="270">
        <v>374946</v>
      </c>
      <c r="H58" s="1642">
        <f t="shared" ref="H58" si="44">IF(ISERROR(G58/F58),"-",G58/F58)</f>
        <v>1</v>
      </c>
      <c r="I58" s="381">
        <v>374946</v>
      </c>
      <c r="J58" s="710">
        <f t="shared" ref="J58" si="45">+B58-D58-MIN(F58,G58)</f>
        <v>0</v>
      </c>
      <c r="O58" s="548">
        <f t="shared" si="35"/>
        <v>295233</v>
      </c>
    </row>
    <row r="59" spans="1:15">
      <c r="A59" s="676" t="s">
        <v>1501</v>
      </c>
      <c r="B59" s="247"/>
      <c r="C59" s="682"/>
      <c r="D59" s="270"/>
      <c r="E59" s="269"/>
      <c r="F59" s="270"/>
      <c r="G59" s="270"/>
      <c r="H59" s="1642" t="str">
        <f t="shared" ref="H59" si="46">IF(ISERROR(G59/F59),"-",G59/F59)</f>
        <v>-</v>
      </c>
      <c r="I59" s="381"/>
      <c r="J59" s="710">
        <f t="shared" ref="J59" si="47">+B59-D59-MIN(F59,G59)</f>
        <v>0</v>
      </c>
      <c r="O59" s="548">
        <f t="shared" si="35"/>
        <v>0</v>
      </c>
    </row>
    <row r="60" spans="1:15">
      <c r="A60" s="676" t="s">
        <v>1500</v>
      </c>
      <c r="B60" s="247">
        <v>44</v>
      </c>
      <c r="C60" s="682"/>
      <c r="D60" s="270"/>
      <c r="E60" s="269"/>
      <c r="F60" s="270">
        <v>44</v>
      </c>
      <c r="G60" s="270">
        <v>44</v>
      </c>
      <c r="H60" s="1642">
        <f t="shared" ref="H60" si="48">IF(ISERROR(G60/F60),"-",G60/F60)</f>
        <v>1</v>
      </c>
      <c r="I60" s="381">
        <v>44</v>
      </c>
      <c r="J60" s="710">
        <f t="shared" ref="J60:J61" si="49">+B60-D60-MIN(F60,G60)</f>
        <v>0</v>
      </c>
      <c r="O60" s="548">
        <f t="shared" si="35"/>
        <v>35</v>
      </c>
    </row>
    <row r="61" spans="1:15" ht="12.75" thickBot="1">
      <c r="A61" s="676" t="s">
        <v>1498</v>
      </c>
      <c r="B61" s="247">
        <v>1140</v>
      </c>
      <c r="C61" s="682"/>
      <c r="D61" s="270"/>
      <c r="E61" s="269"/>
      <c r="F61" s="270">
        <v>1140</v>
      </c>
      <c r="G61" s="270">
        <v>1140</v>
      </c>
      <c r="H61" s="1642">
        <f t="shared" ref="H61" si="50">IF(ISERROR(G61/F61),"-",G61/F61)</f>
        <v>1</v>
      </c>
      <c r="I61" s="381">
        <v>1140</v>
      </c>
      <c r="J61" s="710">
        <f t="shared" si="49"/>
        <v>0</v>
      </c>
      <c r="O61" s="548">
        <f t="shared" si="35"/>
        <v>898</v>
      </c>
    </row>
    <row r="62" spans="1:15" ht="12.75" thickBot="1">
      <c r="A62" s="677" t="s">
        <v>625</v>
      </c>
      <c r="B62" s="280">
        <f>SUM(B53:B61)</f>
        <v>687310</v>
      </c>
      <c r="C62" s="683" t="s">
        <v>19</v>
      </c>
      <c r="D62" s="282">
        <f t="shared" ref="D62:G62" si="51">SUM(D53:D61)</f>
        <v>0</v>
      </c>
      <c r="E62" s="281">
        <f t="shared" si="51"/>
        <v>6672</v>
      </c>
      <c r="F62" s="282">
        <f t="shared" si="51"/>
        <v>687310</v>
      </c>
      <c r="G62" s="282">
        <f t="shared" si="51"/>
        <v>687310</v>
      </c>
      <c r="H62" s="1635">
        <f t="shared" si="0"/>
        <v>1</v>
      </c>
      <c r="I62" s="386">
        <f t="shared" ref="I62:J62" si="52">SUM(I53:I61)</f>
        <v>687310</v>
      </c>
      <c r="J62" s="262">
        <f t="shared" si="52"/>
        <v>0</v>
      </c>
      <c r="L62" s="547">
        <f>+'1.mell._Össz_Mérleg2019'!E151</f>
        <v>687310</v>
      </c>
      <c r="M62" s="547">
        <f>+G62-L62</f>
        <v>0</v>
      </c>
    </row>
    <row r="63" spans="1:15" ht="12.75" thickBot="1">
      <c r="A63" s="679"/>
      <c r="B63" s="399"/>
      <c r="C63" s="685"/>
      <c r="D63" s="389"/>
      <c r="E63" s="1258"/>
      <c r="F63" s="389"/>
      <c r="G63" s="389"/>
      <c r="H63" s="1672"/>
      <c r="I63" s="390"/>
      <c r="J63" s="712"/>
    </row>
    <row r="64" spans="1:15" ht="12.75" thickBot="1">
      <c r="A64" s="680" t="s">
        <v>616</v>
      </c>
      <c r="B64" s="400">
        <f>+B27+B30+B34+B39+B43+B51+B62</f>
        <v>1186999</v>
      </c>
      <c r="C64" s="683" t="s">
        <v>19</v>
      </c>
      <c r="D64" s="391">
        <f>+D27+D30+D34+D39+D43+D51+D62</f>
        <v>165</v>
      </c>
      <c r="E64" s="1259">
        <f>+E27+E30+E34+E39+E43+E51+E62</f>
        <v>466298</v>
      </c>
      <c r="F64" s="391">
        <f>+F27+F30+F34+F39+F43+F51+F62</f>
        <v>816299</v>
      </c>
      <c r="G64" s="391">
        <f>+G27+G30+G34+G39+G43+G51+G62</f>
        <v>816299</v>
      </c>
      <c r="H64" s="1635">
        <f t="shared" si="0"/>
        <v>1</v>
      </c>
      <c r="I64" s="392">
        <f>+I27+I30+I34+I39+I43+I51+I62</f>
        <v>727683</v>
      </c>
      <c r="J64" s="713">
        <f>+J27+J30+J34+J39+J43+J51+J62</f>
        <v>369813</v>
      </c>
      <c r="L64" s="547">
        <f>+'1.mell._Össz_Mérleg2019'!E150</f>
        <v>816299</v>
      </c>
      <c r="M64" s="547">
        <f>+G64-L64</f>
        <v>0</v>
      </c>
    </row>
    <row r="65" spans="1:15" ht="12.75" thickBot="1">
      <c r="A65" s="406"/>
      <c r="B65" s="401"/>
      <c r="C65" s="402"/>
      <c r="D65" s="401"/>
      <c r="E65" s="401"/>
      <c r="F65" s="1261"/>
      <c r="G65" s="1261"/>
      <c r="H65" s="1673"/>
      <c r="I65" s="401"/>
      <c r="J65" s="401"/>
    </row>
    <row r="66" spans="1:15">
      <c r="A66" s="688" t="s">
        <v>603</v>
      </c>
      <c r="B66" s="404"/>
      <c r="C66" s="689"/>
      <c r="D66" s="403"/>
      <c r="E66" s="1260"/>
      <c r="F66" s="403"/>
      <c r="G66" s="403"/>
      <c r="H66" s="1670"/>
      <c r="I66" s="405"/>
      <c r="J66" s="714"/>
    </row>
    <row r="67" spans="1:15">
      <c r="A67" s="676" t="s">
        <v>1467</v>
      </c>
      <c r="B67" s="247">
        <v>5204</v>
      </c>
      <c r="C67" s="682"/>
      <c r="D67" s="270"/>
      <c r="E67" s="269">
        <v>6000</v>
      </c>
      <c r="F67" s="270">
        <v>6000</v>
      </c>
      <c r="G67" s="270">
        <f>3704+1500</f>
        <v>5204</v>
      </c>
      <c r="H67" s="1642">
        <f t="shared" ref="H67:H99" si="53">IF(ISERROR(G67/F67),"-",G67/F67)</f>
        <v>0.86733333333333329</v>
      </c>
      <c r="I67" s="381"/>
      <c r="J67" s="710">
        <f t="shared" ref="J67:J70" si="54">+B67-D67-MIN(F67,G67)</f>
        <v>0</v>
      </c>
      <c r="O67" s="548">
        <f t="shared" ref="O67:O76" si="55">+ROUND(G67/1.27,0)</f>
        <v>4098</v>
      </c>
    </row>
    <row r="68" spans="1:15">
      <c r="A68" s="676" t="s">
        <v>2782</v>
      </c>
      <c r="B68" s="247">
        <v>17207</v>
      </c>
      <c r="C68" s="682"/>
      <c r="D68" s="270"/>
      <c r="E68" s="269">
        <f>40000-29000</f>
        <v>11000</v>
      </c>
      <c r="F68" s="270">
        <v>17207</v>
      </c>
      <c r="G68" s="270">
        <v>17207</v>
      </c>
      <c r="H68" s="1642">
        <f t="shared" si="53"/>
        <v>1</v>
      </c>
      <c r="I68" s="381"/>
      <c r="J68" s="710">
        <f t="shared" si="54"/>
        <v>0</v>
      </c>
      <c r="O68" s="548">
        <f t="shared" si="55"/>
        <v>13549</v>
      </c>
    </row>
    <row r="69" spans="1:15">
      <c r="A69" s="676" t="s">
        <v>1468</v>
      </c>
      <c r="B69" s="247">
        <v>2676</v>
      </c>
      <c r="C69" s="682"/>
      <c r="D69" s="270"/>
      <c r="E69" s="269">
        <v>2676</v>
      </c>
      <c r="F69" s="270">
        <v>2676</v>
      </c>
      <c r="G69" s="270">
        <v>2676</v>
      </c>
      <c r="H69" s="1642">
        <f t="shared" si="53"/>
        <v>1</v>
      </c>
      <c r="I69" s="381"/>
      <c r="J69" s="710">
        <f t="shared" si="54"/>
        <v>0</v>
      </c>
      <c r="O69" s="548">
        <f t="shared" si="55"/>
        <v>2107</v>
      </c>
    </row>
    <row r="70" spans="1:15">
      <c r="A70" s="676" t="s">
        <v>1562</v>
      </c>
      <c r="B70" s="247">
        <v>41258</v>
      </c>
      <c r="C70" s="682"/>
      <c r="D70" s="270"/>
      <c r="E70" s="269"/>
      <c r="F70" s="270"/>
      <c r="G70" s="270"/>
      <c r="H70" s="1642" t="str">
        <f t="shared" si="53"/>
        <v>-</v>
      </c>
      <c r="I70" s="381">
        <v>30000</v>
      </c>
      <c r="J70" s="710">
        <f t="shared" si="54"/>
        <v>41258</v>
      </c>
      <c r="O70" s="548">
        <f t="shared" si="55"/>
        <v>0</v>
      </c>
    </row>
    <row r="71" spans="1:15">
      <c r="A71" s="676" t="s">
        <v>1567</v>
      </c>
      <c r="B71" s="247">
        <v>12414</v>
      </c>
      <c r="C71" s="682"/>
      <c r="D71" s="270"/>
      <c r="E71" s="269"/>
      <c r="F71" s="270">
        <v>0</v>
      </c>
      <c r="G71" s="270"/>
      <c r="H71" s="1642" t="str">
        <f t="shared" ref="H71" si="56">IF(ISERROR(G71/F71),"-",G71/F71)</f>
        <v>-</v>
      </c>
      <c r="I71" s="381"/>
      <c r="J71" s="710">
        <f t="shared" ref="J71" si="57">+B71-D71-MIN(F71,G71)</f>
        <v>12414</v>
      </c>
      <c r="O71" s="548">
        <f t="shared" si="55"/>
        <v>0</v>
      </c>
    </row>
    <row r="72" spans="1:15">
      <c r="A72" s="676" t="s">
        <v>1460</v>
      </c>
      <c r="B72" s="247">
        <v>8543</v>
      </c>
      <c r="C72" s="682"/>
      <c r="D72" s="270"/>
      <c r="E72" s="269"/>
      <c r="F72" s="270">
        <v>8543</v>
      </c>
      <c r="G72" s="270">
        <f>4271+4271+1</f>
        <v>8543</v>
      </c>
      <c r="H72" s="1642">
        <f t="shared" ref="H72:H75" si="58">IF(ISERROR(G72/F72),"-",G72/F72)</f>
        <v>1</v>
      </c>
      <c r="I72" s="381">
        <v>2708</v>
      </c>
      <c r="J72" s="710">
        <f t="shared" ref="J72:J75" si="59">+B72-D72-MIN(F72,G72)</f>
        <v>0</v>
      </c>
      <c r="O72" s="548">
        <f t="shared" si="55"/>
        <v>6727</v>
      </c>
    </row>
    <row r="73" spans="1:15">
      <c r="A73" s="676" t="s">
        <v>2781</v>
      </c>
      <c r="B73" s="247">
        <v>1557</v>
      </c>
      <c r="C73" s="682"/>
      <c r="D73" s="270"/>
      <c r="E73" s="269"/>
      <c r="F73" s="270">
        <v>1557</v>
      </c>
      <c r="G73" s="270">
        <v>1557</v>
      </c>
      <c r="H73" s="1642">
        <f t="shared" si="58"/>
        <v>1</v>
      </c>
      <c r="I73" s="381"/>
      <c r="J73" s="710">
        <f t="shared" si="59"/>
        <v>0</v>
      </c>
      <c r="O73" s="548">
        <f t="shared" si="55"/>
        <v>1226</v>
      </c>
    </row>
    <row r="74" spans="1:15">
      <c r="A74" s="676" t="s">
        <v>2783</v>
      </c>
      <c r="B74" s="247">
        <v>9002</v>
      </c>
      <c r="C74" s="682"/>
      <c r="D74" s="270"/>
      <c r="E74" s="269"/>
      <c r="F74" s="270">
        <v>9002</v>
      </c>
      <c r="G74" s="270">
        <v>9002</v>
      </c>
      <c r="H74" s="1642">
        <f t="shared" si="58"/>
        <v>1</v>
      </c>
      <c r="I74" s="381"/>
      <c r="J74" s="710">
        <f t="shared" si="59"/>
        <v>0</v>
      </c>
      <c r="O74" s="548">
        <f t="shared" si="55"/>
        <v>7088</v>
      </c>
    </row>
    <row r="75" spans="1:15">
      <c r="A75" s="676" t="s">
        <v>2784</v>
      </c>
      <c r="B75" s="247">
        <v>128</v>
      </c>
      <c r="C75" s="682"/>
      <c r="D75" s="270"/>
      <c r="E75" s="269"/>
      <c r="F75" s="270">
        <v>128</v>
      </c>
      <c r="G75" s="270">
        <v>128</v>
      </c>
      <c r="H75" s="1642">
        <f t="shared" si="58"/>
        <v>1</v>
      </c>
      <c r="I75" s="381"/>
      <c r="J75" s="710">
        <f t="shared" si="59"/>
        <v>0</v>
      </c>
      <c r="O75" s="548">
        <f t="shared" si="55"/>
        <v>101</v>
      </c>
    </row>
    <row r="76" spans="1:15" ht="12.75" thickBot="1">
      <c r="A76" s="676" t="s">
        <v>2785</v>
      </c>
      <c r="B76" s="247">
        <v>16630</v>
      </c>
      <c r="C76" s="682"/>
      <c r="D76" s="270"/>
      <c r="E76" s="269"/>
      <c r="F76" s="270">
        <v>16630</v>
      </c>
      <c r="G76" s="270">
        <v>16630</v>
      </c>
      <c r="H76" s="1642">
        <f t="shared" ref="H76" si="60">IF(ISERROR(G76/F76),"-",G76/F76)</f>
        <v>1</v>
      </c>
      <c r="I76" s="381"/>
      <c r="J76" s="710">
        <f t="shared" ref="J76" si="61">+B76-D76-MIN(F76,G76)</f>
        <v>0</v>
      </c>
      <c r="O76" s="548">
        <f t="shared" si="55"/>
        <v>13094</v>
      </c>
    </row>
    <row r="77" spans="1:15" ht="12.75" thickBot="1">
      <c r="A77" s="677" t="s">
        <v>604</v>
      </c>
      <c r="B77" s="280">
        <f>SUM(B67:B76)</f>
        <v>114619</v>
      </c>
      <c r="C77" s="683" t="s">
        <v>19</v>
      </c>
      <c r="D77" s="282">
        <f>SUM(D67:D76)</f>
        <v>0</v>
      </c>
      <c r="E77" s="281">
        <f>SUM(E67:E76)</f>
        <v>19676</v>
      </c>
      <c r="F77" s="282">
        <f>SUM(F67:F76)</f>
        <v>61743</v>
      </c>
      <c r="G77" s="282">
        <f>SUM(G67:G76)</f>
        <v>60947</v>
      </c>
      <c r="H77" s="1635">
        <f t="shared" si="53"/>
        <v>0.98710785028262316</v>
      </c>
      <c r="I77" s="386">
        <f>SUM(I67:I76)</f>
        <v>32708</v>
      </c>
      <c r="J77" s="262">
        <f>SUM(J67:J76)</f>
        <v>53672</v>
      </c>
    </row>
    <row r="78" spans="1:15">
      <c r="A78" s="675" t="s">
        <v>879</v>
      </c>
      <c r="B78" s="397"/>
      <c r="C78" s="681"/>
      <c r="D78" s="383"/>
      <c r="E78" s="1257"/>
      <c r="F78" s="383"/>
      <c r="G78" s="383"/>
      <c r="H78" s="1669"/>
      <c r="I78" s="382"/>
      <c r="J78" s="709"/>
    </row>
    <row r="79" spans="1:15" ht="12.75" thickBot="1">
      <c r="A79" s="676" t="s">
        <v>19</v>
      </c>
      <c r="B79" s="247"/>
      <c r="C79" s="682"/>
      <c r="D79" s="270"/>
      <c r="E79" s="269"/>
      <c r="F79" s="270"/>
      <c r="G79" s="270"/>
      <c r="H79" s="1642" t="str">
        <f t="shared" si="53"/>
        <v>-</v>
      </c>
      <c r="I79" s="381"/>
      <c r="J79" s="710">
        <f t="shared" ref="J79" si="62">+B79-D79-MIN(F79,G79)</f>
        <v>0</v>
      </c>
    </row>
    <row r="80" spans="1:15" ht="12.75" thickBot="1">
      <c r="A80" s="677" t="s">
        <v>880</v>
      </c>
      <c r="B80" s="280">
        <f>+B79</f>
        <v>0</v>
      </c>
      <c r="C80" s="683" t="s">
        <v>19</v>
      </c>
      <c r="D80" s="282">
        <f t="shared" ref="D80:J80" si="63">+D79</f>
        <v>0</v>
      </c>
      <c r="E80" s="281">
        <f t="shared" si="63"/>
        <v>0</v>
      </c>
      <c r="F80" s="282">
        <f t="shared" si="63"/>
        <v>0</v>
      </c>
      <c r="G80" s="282">
        <f t="shared" si="63"/>
        <v>0</v>
      </c>
      <c r="H80" s="1635" t="str">
        <f t="shared" si="53"/>
        <v>-</v>
      </c>
      <c r="I80" s="386">
        <f t="shared" si="63"/>
        <v>0</v>
      </c>
      <c r="J80" s="262">
        <f t="shared" si="63"/>
        <v>0</v>
      </c>
    </row>
    <row r="81" spans="1:15">
      <c r="A81" s="675" t="s">
        <v>605</v>
      </c>
      <c r="B81" s="397"/>
      <c r="C81" s="681"/>
      <c r="D81" s="383"/>
      <c r="E81" s="1257"/>
      <c r="F81" s="383"/>
      <c r="G81" s="383"/>
      <c r="H81" s="1669"/>
      <c r="I81" s="382"/>
      <c r="J81" s="709"/>
    </row>
    <row r="82" spans="1:15" ht="12.75" thickBot="1">
      <c r="A82" s="676" t="s">
        <v>19</v>
      </c>
      <c r="B82" s="247"/>
      <c r="C82" s="682"/>
      <c r="D82" s="270"/>
      <c r="E82" s="269"/>
      <c r="F82" s="270"/>
      <c r="G82" s="270"/>
      <c r="H82" s="1642" t="str">
        <f t="shared" si="53"/>
        <v>-</v>
      </c>
      <c r="I82" s="381"/>
      <c r="J82" s="710">
        <f t="shared" ref="J82" si="64">+B82-D82-MIN(F82,G82)</f>
        <v>0</v>
      </c>
    </row>
    <row r="83" spans="1:15" ht="12.75" thickBot="1">
      <c r="A83" s="677" t="s">
        <v>606</v>
      </c>
      <c r="B83" s="280">
        <f>+B82</f>
        <v>0</v>
      </c>
      <c r="C83" s="683" t="s">
        <v>19</v>
      </c>
      <c r="D83" s="282">
        <f t="shared" ref="D83:J83" si="65">+D82</f>
        <v>0</v>
      </c>
      <c r="E83" s="281">
        <f t="shared" si="65"/>
        <v>0</v>
      </c>
      <c r="F83" s="282">
        <f t="shared" si="65"/>
        <v>0</v>
      </c>
      <c r="G83" s="282">
        <f t="shared" si="65"/>
        <v>0</v>
      </c>
      <c r="H83" s="1635" t="str">
        <f t="shared" si="53"/>
        <v>-</v>
      </c>
      <c r="I83" s="386">
        <f t="shared" si="65"/>
        <v>0</v>
      </c>
      <c r="J83" s="262">
        <f t="shared" si="65"/>
        <v>0</v>
      </c>
    </row>
    <row r="84" spans="1:15">
      <c r="A84" s="675" t="s">
        <v>893</v>
      </c>
      <c r="B84" s="397"/>
      <c r="C84" s="681"/>
      <c r="D84" s="383"/>
      <c r="E84" s="1257"/>
      <c r="F84" s="383"/>
      <c r="G84" s="383"/>
      <c r="H84" s="1669"/>
      <c r="I84" s="382"/>
      <c r="J84" s="709"/>
    </row>
    <row r="85" spans="1:15" ht="12.75" thickBot="1">
      <c r="A85" s="676" t="s">
        <v>19</v>
      </c>
      <c r="B85" s="247"/>
      <c r="C85" s="682"/>
      <c r="D85" s="270"/>
      <c r="E85" s="269"/>
      <c r="F85" s="270"/>
      <c r="G85" s="270"/>
      <c r="H85" s="1642" t="str">
        <f t="shared" si="53"/>
        <v>-</v>
      </c>
      <c r="I85" s="381"/>
      <c r="J85" s="710">
        <f t="shared" ref="J85" si="66">+B85-D85-MIN(F85,G85)</f>
        <v>0</v>
      </c>
      <c r="O85" s="548">
        <f>+ROUND(G85/1.27,0)</f>
        <v>0</v>
      </c>
    </row>
    <row r="86" spans="1:15" ht="12.75" thickBot="1">
      <c r="A86" s="677" t="s">
        <v>607</v>
      </c>
      <c r="B86" s="280">
        <f>SUM(B85:B85)</f>
        <v>0</v>
      </c>
      <c r="C86" s="683" t="s">
        <v>19</v>
      </c>
      <c r="D86" s="282">
        <f t="shared" ref="D86:J86" si="67">SUM(D85:D85)</f>
        <v>0</v>
      </c>
      <c r="E86" s="281">
        <f t="shared" si="67"/>
        <v>0</v>
      </c>
      <c r="F86" s="282">
        <f t="shared" si="67"/>
        <v>0</v>
      </c>
      <c r="G86" s="282">
        <f t="shared" si="67"/>
        <v>0</v>
      </c>
      <c r="H86" s="1635" t="str">
        <f t="shared" si="53"/>
        <v>-</v>
      </c>
      <c r="I86" s="386">
        <f t="shared" si="67"/>
        <v>0</v>
      </c>
      <c r="J86" s="262">
        <f t="shared" si="67"/>
        <v>0</v>
      </c>
    </row>
    <row r="87" spans="1:15">
      <c r="A87" s="675" t="s">
        <v>894</v>
      </c>
      <c r="B87" s="397"/>
      <c r="C87" s="681"/>
      <c r="D87" s="383"/>
      <c r="E87" s="1257"/>
      <c r="F87" s="383"/>
      <c r="G87" s="383"/>
      <c r="H87" s="1669"/>
      <c r="I87" s="382"/>
      <c r="J87" s="709"/>
    </row>
    <row r="88" spans="1:15" ht="12.75" thickBot="1">
      <c r="A88" s="676" t="s">
        <v>19</v>
      </c>
      <c r="B88" s="247"/>
      <c r="C88" s="682"/>
      <c r="D88" s="270"/>
      <c r="E88" s="269"/>
      <c r="F88" s="270"/>
      <c r="G88" s="270"/>
      <c r="H88" s="1642" t="str">
        <f t="shared" si="53"/>
        <v>-</v>
      </c>
      <c r="I88" s="381"/>
      <c r="J88" s="710">
        <f t="shared" ref="J88" si="68">+B88-D88-MIN(F88,G88)</f>
        <v>0</v>
      </c>
    </row>
    <row r="89" spans="1:15" ht="12.75" thickBot="1">
      <c r="A89" s="677" t="s">
        <v>1325</v>
      </c>
      <c r="B89" s="280">
        <f>+B88</f>
        <v>0</v>
      </c>
      <c r="C89" s="683" t="s">
        <v>19</v>
      </c>
      <c r="D89" s="282">
        <f t="shared" ref="D89:J89" si="69">+D88</f>
        <v>0</v>
      </c>
      <c r="E89" s="281">
        <f t="shared" si="69"/>
        <v>0</v>
      </c>
      <c r="F89" s="282">
        <f t="shared" si="69"/>
        <v>0</v>
      </c>
      <c r="G89" s="282">
        <f t="shared" si="69"/>
        <v>0</v>
      </c>
      <c r="H89" s="1635" t="str">
        <f t="shared" si="53"/>
        <v>-</v>
      </c>
      <c r="I89" s="386">
        <f t="shared" si="69"/>
        <v>0</v>
      </c>
      <c r="J89" s="262">
        <f t="shared" si="69"/>
        <v>0</v>
      </c>
    </row>
    <row r="90" spans="1:15">
      <c r="A90" s="675" t="s">
        <v>1323</v>
      </c>
      <c r="B90" s="397"/>
      <c r="C90" s="681"/>
      <c r="D90" s="383"/>
      <c r="E90" s="1257"/>
      <c r="F90" s="383"/>
      <c r="G90" s="383"/>
      <c r="H90" s="1669"/>
      <c r="I90" s="382"/>
      <c r="J90" s="709"/>
    </row>
    <row r="91" spans="1:15" ht="12.75" thickBot="1">
      <c r="A91" s="676" t="s">
        <v>2780</v>
      </c>
      <c r="B91" s="247">
        <v>4509</v>
      </c>
      <c r="C91" s="682"/>
      <c r="D91" s="270"/>
      <c r="E91" s="269"/>
      <c r="F91" s="270">
        <v>4509</v>
      </c>
      <c r="G91" s="270">
        <v>4509</v>
      </c>
      <c r="H91" s="1642">
        <f t="shared" si="53"/>
        <v>1</v>
      </c>
      <c r="I91" s="381"/>
      <c r="J91" s="710">
        <f t="shared" ref="J91" si="70">+B91-D91-MIN(F91,G91)</f>
        <v>0</v>
      </c>
    </row>
    <row r="92" spans="1:15" ht="12.75" thickBot="1">
      <c r="A92" s="677" t="s">
        <v>1324</v>
      </c>
      <c r="B92" s="280">
        <f>+B91</f>
        <v>4509</v>
      </c>
      <c r="C92" s="683" t="s">
        <v>19</v>
      </c>
      <c r="D92" s="282">
        <f t="shared" ref="D92:J92" si="71">+D91</f>
        <v>0</v>
      </c>
      <c r="E92" s="281">
        <f t="shared" si="71"/>
        <v>0</v>
      </c>
      <c r="F92" s="282">
        <f t="shared" si="71"/>
        <v>4509</v>
      </c>
      <c r="G92" s="282">
        <f t="shared" si="71"/>
        <v>4509</v>
      </c>
      <c r="H92" s="1635">
        <f t="shared" si="53"/>
        <v>1</v>
      </c>
      <c r="I92" s="386">
        <f t="shared" si="71"/>
        <v>0</v>
      </c>
      <c r="J92" s="262">
        <f t="shared" si="71"/>
        <v>0</v>
      </c>
    </row>
    <row r="93" spans="1:15">
      <c r="A93" s="678" t="s">
        <v>626</v>
      </c>
      <c r="B93" s="398"/>
      <c r="C93" s="684"/>
      <c r="D93" s="387"/>
      <c r="E93" s="246"/>
      <c r="F93" s="387"/>
      <c r="G93" s="387"/>
      <c r="H93" s="1634"/>
      <c r="I93" s="388"/>
      <c r="J93" s="711"/>
    </row>
    <row r="94" spans="1:15">
      <c r="A94" s="676" t="s">
        <v>1245</v>
      </c>
      <c r="B94" s="247">
        <v>27249</v>
      </c>
      <c r="C94" s="682"/>
      <c r="D94" s="270"/>
      <c r="E94" s="269"/>
      <c r="F94" s="270">
        <v>27249</v>
      </c>
      <c r="G94" s="270">
        <v>27249</v>
      </c>
      <c r="H94" s="1642">
        <f t="shared" ref="H94:H96" si="72">IF(ISERROR(G94/F94),"-",G94/F94)</f>
        <v>1</v>
      </c>
      <c r="I94" s="381">
        <v>27249</v>
      </c>
      <c r="J94" s="710">
        <f t="shared" ref="J94:J96" si="73">+B94-D94-MIN(F94,G94)</f>
        <v>0</v>
      </c>
      <c r="O94" s="548">
        <f>+ROUND(G94/1.27,0)</f>
        <v>21456</v>
      </c>
    </row>
    <row r="95" spans="1:15">
      <c r="A95" s="676" t="s">
        <v>1501</v>
      </c>
      <c r="B95" s="247">
        <v>159300</v>
      </c>
      <c r="C95" s="682"/>
      <c r="D95" s="270"/>
      <c r="E95" s="269"/>
      <c r="F95" s="270">
        <v>159300</v>
      </c>
      <c r="G95" s="270">
        <v>159300</v>
      </c>
      <c r="H95" s="1642">
        <f t="shared" si="72"/>
        <v>1</v>
      </c>
      <c r="I95" s="381">
        <v>159300</v>
      </c>
      <c r="J95" s="710">
        <f t="shared" si="73"/>
        <v>0</v>
      </c>
      <c r="O95" s="548">
        <f>+ROUND(G95/1.27,0)</f>
        <v>125433</v>
      </c>
    </row>
    <row r="96" spans="1:15" ht="12.75" thickBot="1">
      <c r="A96" s="676" t="s">
        <v>1498</v>
      </c>
      <c r="B96" s="247">
        <v>508</v>
      </c>
      <c r="C96" s="682"/>
      <c r="D96" s="270"/>
      <c r="E96" s="269"/>
      <c r="F96" s="270">
        <v>508</v>
      </c>
      <c r="G96" s="270">
        <v>508</v>
      </c>
      <c r="H96" s="1642">
        <f t="shared" si="72"/>
        <v>1</v>
      </c>
      <c r="I96" s="381">
        <v>508</v>
      </c>
      <c r="J96" s="710">
        <f t="shared" si="73"/>
        <v>0</v>
      </c>
      <c r="O96" s="548">
        <f>+ROUND(G96/1.27,0)</f>
        <v>400</v>
      </c>
    </row>
    <row r="97" spans="1:13" ht="12.75" thickBot="1">
      <c r="A97" s="677" t="s">
        <v>627</v>
      </c>
      <c r="B97" s="280">
        <f>SUM(B94:B96)</f>
        <v>187057</v>
      </c>
      <c r="C97" s="683" t="s">
        <v>19</v>
      </c>
      <c r="D97" s="282">
        <f>SUM(D94:D96)</f>
        <v>0</v>
      </c>
      <c r="E97" s="281">
        <f>SUM(E94:E96)</f>
        <v>0</v>
      </c>
      <c r="F97" s="282">
        <f>SUM(F94:F96)</f>
        <v>187057</v>
      </c>
      <c r="G97" s="282">
        <f>SUM(G94:G96)</f>
        <v>187057</v>
      </c>
      <c r="H97" s="1635">
        <f t="shared" si="53"/>
        <v>1</v>
      </c>
      <c r="I97" s="386">
        <f>SUM(I94:I96)</f>
        <v>187057</v>
      </c>
      <c r="J97" s="262">
        <f>SUM(J94:J96)</f>
        <v>0</v>
      </c>
      <c r="L97" s="547">
        <f>+'1.mell._Össz_Mérleg2019'!E160</f>
        <v>187057</v>
      </c>
      <c r="M97" s="547">
        <f>+G97-L97</f>
        <v>0</v>
      </c>
    </row>
    <row r="98" spans="1:13" ht="12.75" thickBot="1">
      <c r="A98" s="679"/>
      <c r="B98" s="399"/>
      <c r="C98" s="685"/>
      <c r="D98" s="389"/>
      <c r="E98" s="1258"/>
      <c r="F98" s="389"/>
      <c r="G98" s="389"/>
      <c r="H98" s="1672"/>
      <c r="I98" s="390"/>
      <c r="J98" s="712"/>
    </row>
    <row r="99" spans="1:13" ht="12.75" thickBot="1">
      <c r="A99" s="680" t="s">
        <v>617</v>
      </c>
      <c r="B99" s="400">
        <f>+B77+B80+B83+B86+B89+B92+B97</f>
        <v>306185</v>
      </c>
      <c r="C99" s="683" t="s">
        <v>19</v>
      </c>
      <c r="D99" s="391">
        <f>+D77+D80+D83+D86+D89+D92+D97</f>
        <v>0</v>
      </c>
      <c r="E99" s="1259">
        <f>+E77+E80+E83+E86+E89+E92+E97</f>
        <v>19676</v>
      </c>
      <c r="F99" s="391">
        <f>+F77+F80+F83+F86+F89+F92+F97</f>
        <v>253309</v>
      </c>
      <c r="G99" s="391">
        <f>+G77+G80+G83+G86+G89+G92+G97</f>
        <v>252513</v>
      </c>
      <c r="H99" s="1635">
        <f t="shared" si="53"/>
        <v>0.99685759290037068</v>
      </c>
      <c r="I99" s="392">
        <f>+I77+I80+I83+I86+I89+I92+I97</f>
        <v>219765</v>
      </c>
      <c r="J99" s="713">
        <f>+J77+J80+J83+J86+J89+J92+J97</f>
        <v>53672</v>
      </c>
      <c r="L99" s="547">
        <f>+'1.mell._Össz_Mérleg2019'!E159</f>
        <v>252513</v>
      </c>
      <c r="M99" s="547">
        <f>+G99-L99</f>
        <v>0</v>
      </c>
    </row>
    <row r="100" spans="1:13" ht="12.75" thickBot="1">
      <c r="A100" s="393"/>
      <c r="B100" s="690"/>
      <c r="C100" s="393"/>
      <c r="D100" s="393"/>
      <c r="E100" s="393"/>
      <c r="F100" s="1262"/>
      <c r="G100" s="1262"/>
      <c r="H100" s="1674"/>
      <c r="I100" s="393"/>
      <c r="J100" s="715"/>
    </row>
    <row r="101" spans="1:13">
      <c r="A101" s="675" t="s">
        <v>618</v>
      </c>
      <c r="B101" s="397"/>
      <c r="C101" s="681"/>
      <c r="D101" s="383"/>
      <c r="E101" s="1257"/>
      <c r="F101" s="383"/>
      <c r="G101" s="383"/>
      <c r="H101" s="1669"/>
      <c r="I101" s="382"/>
      <c r="J101" s="709"/>
    </row>
    <row r="102" spans="1:13" ht="12.75" thickBot="1">
      <c r="A102" s="676" t="s">
        <v>19</v>
      </c>
      <c r="B102" s="247"/>
      <c r="C102" s="682"/>
      <c r="D102" s="270"/>
      <c r="E102" s="269"/>
      <c r="F102" s="270"/>
      <c r="G102" s="270"/>
      <c r="H102" s="1642" t="str">
        <f t="shared" ref="H102:H103" si="74">IF(ISERROR(G102/F102),"-",G102/F102)</f>
        <v>-</v>
      </c>
      <c r="I102" s="381"/>
      <c r="J102" s="710">
        <f t="shared" ref="J102" si="75">+B102-D102-MIN(F102,G102)</f>
        <v>0</v>
      </c>
    </row>
    <row r="103" spans="1:13" ht="12.75" thickBot="1">
      <c r="A103" s="677" t="s">
        <v>619</v>
      </c>
      <c r="B103" s="280">
        <f>+B102</f>
        <v>0</v>
      </c>
      <c r="C103" s="683" t="s">
        <v>19</v>
      </c>
      <c r="D103" s="282">
        <f t="shared" ref="D103:J103" si="76">+D102</f>
        <v>0</v>
      </c>
      <c r="E103" s="281">
        <f t="shared" si="76"/>
        <v>0</v>
      </c>
      <c r="F103" s="282">
        <f t="shared" si="76"/>
        <v>0</v>
      </c>
      <c r="G103" s="282">
        <f t="shared" si="76"/>
        <v>0</v>
      </c>
      <c r="H103" s="1635" t="str">
        <f t="shared" si="74"/>
        <v>-</v>
      </c>
      <c r="I103" s="386">
        <f t="shared" si="76"/>
        <v>0</v>
      </c>
      <c r="J103" s="262">
        <f t="shared" si="76"/>
        <v>0</v>
      </c>
    </row>
    <row r="104" spans="1:13">
      <c r="A104" s="675" t="s">
        <v>881</v>
      </c>
      <c r="B104" s="397"/>
      <c r="C104" s="681"/>
      <c r="D104" s="383"/>
      <c r="E104" s="1257"/>
      <c r="F104" s="383"/>
      <c r="G104" s="383"/>
      <c r="H104" s="1669"/>
      <c r="I104" s="382"/>
      <c r="J104" s="709"/>
    </row>
    <row r="105" spans="1:13" ht="12.75" thickBot="1">
      <c r="A105" s="676" t="s">
        <v>2786</v>
      </c>
      <c r="B105" s="247">
        <v>18</v>
      </c>
      <c r="C105" s="682"/>
      <c r="D105" s="270"/>
      <c r="E105" s="269"/>
      <c r="F105" s="270">
        <v>18</v>
      </c>
      <c r="G105" s="270">
        <v>18</v>
      </c>
      <c r="H105" s="1642">
        <f t="shared" ref="H105:H106" si="77">IF(ISERROR(G105/F105),"-",G105/F105)</f>
        <v>1</v>
      </c>
      <c r="I105" s="381"/>
      <c r="J105" s="710">
        <f t="shared" ref="J105" si="78">+B105-D105-MIN(F105,G105)</f>
        <v>0</v>
      </c>
    </row>
    <row r="106" spans="1:13" ht="12.75" thickBot="1">
      <c r="A106" s="677" t="s">
        <v>882</v>
      </c>
      <c r="B106" s="280">
        <f>+B105</f>
        <v>18</v>
      </c>
      <c r="C106" s="683" t="s">
        <v>19</v>
      </c>
      <c r="D106" s="282">
        <f t="shared" ref="D106:J106" si="79">+D105</f>
        <v>0</v>
      </c>
      <c r="E106" s="281">
        <f t="shared" si="79"/>
        <v>0</v>
      </c>
      <c r="F106" s="282">
        <f t="shared" si="79"/>
        <v>18</v>
      </c>
      <c r="G106" s="282">
        <f t="shared" si="79"/>
        <v>18</v>
      </c>
      <c r="H106" s="1635">
        <f t="shared" si="77"/>
        <v>1</v>
      </c>
      <c r="I106" s="386">
        <f t="shared" si="79"/>
        <v>0</v>
      </c>
      <c r="J106" s="262">
        <f t="shared" si="79"/>
        <v>0</v>
      </c>
    </row>
    <row r="107" spans="1:13">
      <c r="A107" s="675" t="s">
        <v>620</v>
      </c>
      <c r="B107" s="397"/>
      <c r="C107" s="681"/>
      <c r="D107" s="383"/>
      <c r="E107" s="1257"/>
      <c r="F107" s="383"/>
      <c r="G107" s="383"/>
      <c r="H107" s="1669"/>
      <c r="I107" s="382"/>
      <c r="J107" s="709"/>
    </row>
    <row r="108" spans="1:13" ht="12.75" thickBot="1">
      <c r="A108" s="676" t="s">
        <v>19</v>
      </c>
      <c r="B108" s="247"/>
      <c r="C108" s="682"/>
      <c r="D108" s="270"/>
      <c r="E108" s="269"/>
      <c r="F108" s="270"/>
      <c r="G108" s="270"/>
      <c r="H108" s="1642" t="str">
        <f t="shared" ref="H108:H109" si="80">IF(ISERROR(G108/F108),"-",G108/F108)</f>
        <v>-</v>
      </c>
      <c r="I108" s="381"/>
      <c r="J108" s="710">
        <f t="shared" ref="J108" si="81">+B108-D108-MIN(F108,G108)</f>
        <v>0</v>
      </c>
    </row>
    <row r="109" spans="1:13" ht="12.75" thickBot="1">
      <c r="A109" s="677" t="s">
        <v>621</v>
      </c>
      <c r="B109" s="280">
        <f>+B108</f>
        <v>0</v>
      </c>
      <c r="C109" s="683" t="s">
        <v>19</v>
      </c>
      <c r="D109" s="282">
        <f t="shared" ref="D109:J109" si="82">+D108</f>
        <v>0</v>
      </c>
      <c r="E109" s="281">
        <f t="shared" si="82"/>
        <v>0</v>
      </c>
      <c r="F109" s="282">
        <f t="shared" si="82"/>
        <v>0</v>
      </c>
      <c r="G109" s="282">
        <f t="shared" si="82"/>
        <v>0</v>
      </c>
      <c r="H109" s="1635" t="str">
        <f t="shared" si="80"/>
        <v>-</v>
      </c>
      <c r="I109" s="386">
        <f t="shared" si="82"/>
        <v>0</v>
      </c>
      <c r="J109" s="262">
        <f t="shared" si="82"/>
        <v>0</v>
      </c>
    </row>
    <row r="110" spans="1:13">
      <c r="A110" s="675" t="s">
        <v>622</v>
      </c>
      <c r="B110" s="397"/>
      <c r="C110" s="681"/>
      <c r="D110" s="383"/>
      <c r="E110" s="1257"/>
      <c r="F110" s="383"/>
      <c r="G110" s="383"/>
      <c r="H110" s="1669"/>
      <c r="I110" s="382"/>
      <c r="J110" s="709"/>
    </row>
    <row r="111" spans="1:13" ht="12.75" thickBot="1">
      <c r="A111" s="676" t="s">
        <v>19</v>
      </c>
      <c r="B111" s="247"/>
      <c r="C111" s="682"/>
      <c r="D111" s="270"/>
      <c r="E111" s="269"/>
      <c r="F111" s="270"/>
      <c r="G111" s="270"/>
      <c r="H111" s="1642" t="str">
        <f t="shared" ref="H111:H112" si="83">IF(ISERROR(G111/F111),"-",G111/F111)</f>
        <v>-</v>
      </c>
      <c r="I111" s="381"/>
      <c r="J111" s="710">
        <f t="shared" ref="J111" si="84">+B111-D111-MIN(F111,G111)</f>
        <v>0</v>
      </c>
    </row>
    <row r="112" spans="1:13" ht="12.75" thickBot="1">
      <c r="A112" s="677" t="s">
        <v>623</v>
      </c>
      <c r="B112" s="280">
        <f>+B111</f>
        <v>0</v>
      </c>
      <c r="C112" s="683" t="s">
        <v>19</v>
      </c>
      <c r="D112" s="282">
        <f t="shared" ref="D112:J112" si="85">+D111</f>
        <v>0</v>
      </c>
      <c r="E112" s="281">
        <f t="shared" si="85"/>
        <v>0</v>
      </c>
      <c r="F112" s="282">
        <f t="shared" si="85"/>
        <v>0</v>
      </c>
      <c r="G112" s="282">
        <f t="shared" si="85"/>
        <v>0</v>
      </c>
      <c r="H112" s="1635" t="str">
        <f t="shared" si="83"/>
        <v>-</v>
      </c>
      <c r="I112" s="386">
        <f t="shared" si="85"/>
        <v>0</v>
      </c>
      <c r="J112" s="262">
        <f t="shared" si="85"/>
        <v>0</v>
      </c>
    </row>
    <row r="113" spans="1:13">
      <c r="A113" s="675" t="s">
        <v>869</v>
      </c>
      <c r="B113" s="397"/>
      <c r="C113" s="681"/>
      <c r="D113" s="383"/>
      <c r="E113" s="1257"/>
      <c r="F113" s="383"/>
      <c r="G113" s="383"/>
      <c r="H113" s="1669"/>
      <c r="I113" s="382"/>
      <c r="J113" s="709"/>
    </row>
    <row r="114" spans="1:13" ht="12.75" thickBot="1">
      <c r="A114" s="676" t="s">
        <v>19</v>
      </c>
      <c r="B114" s="247"/>
      <c r="C114" s="682"/>
      <c r="D114" s="270"/>
      <c r="E114" s="269"/>
      <c r="F114" s="270"/>
      <c r="G114" s="270"/>
      <c r="H114" s="1642" t="str">
        <f t="shared" ref="H114:H115" si="86">IF(ISERROR(G114/F114),"-",G114/F114)</f>
        <v>-</v>
      </c>
      <c r="I114" s="381"/>
      <c r="J114" s="710">
        <f t="shared" ref="J114" si="87">+B114-D114-MIN(F114,G114)</f>
        <v>0</v>
      </c>
    </row>
    <row r="115" spans="1:13" ht="12.75" thickBot="1">
      <c r="A115" s="677" t="s">
        <v>870</v>
      </c>
      <c r="B115" s="280">
        <f>+B114</f>
        <v>0</v>
      </c>
      <c r="C115" s="683" t="s">
        <v>19</v>
      </c>
      <c r="D115" s="282">
        <f t="shared" ref="D115:J115" si="88">+D114</f>
        <v>0</v>
      </c>
      <c r="E115" s="281">
        <f t="shared" si="88"/>
        <v>0</v>
      </c>
      <c r="F115" s="282">
        <f t="shared" si="88"/>
        <v>0</v>
      </c>
      <c r="G115" s="282">
        <f t="shared" si="88"/>
        <v>0</v>
      </c>
      <c r="H115" s="1635" t="str">
        <f t="shared" si="86"/>
        <v>-</v>
      </c>
      <c r="I115" s="386">
        <f t="shared" si="88"/>
        <v>0</v>
      </c>
      <c r="J115" s="262">
        <f t="shared" si="88"/>
        <v>0</v>
      </c>
    </row>
    <row r="116" spans="1:13">
      <c r="A116" s="675" t="s">
        <v>1326</v>
      </c>
      <c r="B116" s="397"/>
      <c r="C116" s="681"/>
      <c r="D116" s="383"/>
      <c r="E116" s="1257"/>
      <c r="F116" s="383"/>
      <c r="G116" s="383"/>
      <c r="H116" s="1669"/>
      <c r="I116" s="382"/>
      <c r="J116" s="709"/>
    </row>
    <row r="117" spans="1:13" ht="12.75" thickBot="1">
      <c r="A117" s="676" t="s">
        <v>19</v>
      </c>
      <c r="B117" s="247"/>
      <c r="C117" s="682"/>
      <c r="D117" s="270"/>
      <c r="E117" s="269"/>
      <c r="F117" s="270"/>
      <c r="G117" s="270"/>
      <c r="H117" s="1642" t="str">
        <f t="shared" ref="H117:H118" si="89">IF(ISERROR(G117/F117),"-",G117/F117)</f>
        <v>-</v>
      </c>
      <c r="I117" s="381"/>
      <c r="J117" s="710">
        <f t="shared" ref="J117" si="90">+B117-D117-MIN(F117,G117)</f>
        <v>0</v>
      </c>
    </row>
    <row r="118" spans="1:13" ht="12.75" thickBot="1">
      <c r="A118" s="677" t="s">
        <v>1327</v>
      </c>
      <c r="B118" s="280">
        <f>+B117</f>
        <v>0</v>
      </c>
      <c r="C118" s="683" t="s">
        <v>19</v>
      </c>
      <c r="D118" s="282">
        <f t="shared" ref="D118:J118" si="91">+D117</f>
        <v>0</v>
      </c>
      <c r="E118" s="281">
        <f t="shared" si="91"/>
        <v>0</v>
      </c>
      <c r="F118" s="282">
        <f t="shared" si="91"/>
        <v>0</v>
      </c>
      <c r="G118" s="282">
        <f t="shared" si="91"/>
        <v>0</v>
      </c>
      <c r="H118" s="1635" t="str">
        <f t="shared" si="89"/>
        <v>-</v>
      </c>
      <c r="I118" s="386">
        <f t="shared" si="91"/>
        <v>0</v>
      </c>
      <c r="J118" s="262">
        <f t="shared" si="91"/>
        <v>0</v>
      </c>
    </row>
    <row r="119" spans="1:13">
      <c r="A119" s="678" t="s">
        <v>961</v>
      </c>
      <c r="B119" s="398"/>
      <c r="C119" s="684"/>
      <c r="D119" s="387"/>
      <c r="E119" s="246"/>
      <c r="F119" s="387"/>
      <c r="G119" s="387"/>
      <c r="H119" s="1634"/>
      <c r="I119" s="388"/>
      <c r="J119" s="711"/>
    </row>
    <row r="120" spans="1:13" ht="12.75" thickBot="1">
      <c r="A120" s="676" t="s">
        <v>19</v>
      </c>
      <c r="B120" s="247"/>
      <c r="C120" s="682"/>
      <c r="D120" s="270"/>
      <c r="E120" s="269"/>
      <c r="F120" s="270"/>
      <c r="G120" s="270"/>
      <c r="H120" s="1642" t="str">
        <f t="shared" ref="H120:H123" si="92">IF(ISERROR(G120/F120),"-",G120/F120)</f>
        <v>-</v>
      </c>
      <c r="I120" s="381"/>
      <c r="J120" s="710">
        <f t="shared" ref="J120" si="93">+B120-D120-MIN(F120,G120)</f>
        <v>0</v>
      </c>
    </row>
    <row r="121" spans="1:13" ht="12.75" thickBot="1">
      <c r="A121" s="677" t="s">
        <v>962</v>
      </c>
      <c r="B121" s="280">
        <f>+B120</f>
        <v>0</v>
      </c>
      <c r="C121" s="683" t="s">
        <v>19</v>
      </c>
      <c r="D121" s="282">
        <f t="shared" ref="D121:J121" si="94">+D120</f>
        <v>0</v>
      </c>
      <c r="E121" s="281">
        <f t="shared" si="94"/>
        <v>0</v>
      </c>
      <c r="F121" s="282">
        <f t="shared" si="94"/>
        <v>0</v>
      </c>
      <c r="G121" s="282">
        <f t="shared" si="94"/>
        <v>0</v>
      </c>
      <c r="H121" s="1635" t="str">
        <f t="shared" si="92"/>
        <v>-</v>
      </c>
      <c r="I121" s="386">
        <f t="shared" si="94"/>
        <v>0</v>
      </c>
      <c r="J121" s="262">
        <f t="shared" si="94"/>
        <v>0</v>
      </c>
      <c r="L121" s="547">
        <f>+'1.mell._Össz_Mérleg2019'!E170</f>
        <v>0</v>
      </c>
      <c r="M121" s="547">
        <f>+G121-L121</f>
        <v>0</v>
      </c>
    </row>
    <row r="122" spans="1:13" ht="12.75" thickBot="1">
      <c r="A122" s="679"/>
      <c r="B122" s="399"/>
      <c r="C122" s="685"/>
      <c r="D122" s="389"/>
      <c r="E122" s="1258"/>
      <c r="F122" s="389"/>
      <c r="G122" s="389"/>
      <c r="H122" s="1672"/>
      <c r="I122" s="390"/>
      <c r="J122" s="712"/>
    </row>
    <row r="123" spans="1:13" ht="12.75" thickBot="1">
      <c r="A123" s="680" t="s">
        <v>628</v>
      </c>
      <c r="B123" s="400">
        <f>+B103+B106+B109+B112+B115+B118+B121</f>
        <v>18</v>
      </c>
      <c r="C123" s="683" t="s">
        <v>19</v>
      </c>
      <c r="D123" s="391">
        <f t="shared" ref="D123:J123" si="95">+D103+D106+D109+D112+D115+D118+D121</f>
        <v>0</v>
      </c>
      <c r="E123" s="1259">
        <f t="shared" si="95"/>
        <v>0</v>
      </c>
      <c r="F123" s="263">
        <f t="shared" ref="F123:G123" si="96">+F103+F106+F109+F112+F115+F118+F121</f>
        <v>18</v>
      </c>
      <c r="G123" s="391">
        <f t="shared" si="96"/>
        <v>18</v>
      </c>
      <c r="H123" s="1635">
        <f t="shared" si="92"/>
        <v>1</v>
      </c>
      <c r="I123" s="392">
        <f t="shared" si="95"/>
        <v>0</v>
      </c>
      <c r="J123" s="713">
        <f t="shared" si="95"/>
        <v>0</v>
      </c>
      <c r="L123" s="547">
        <f>+'1.mell._Össz_Mérleg2019'!E165</f>
        <v>18</v>
      </c>
      <c r="M123" s="547">
        <f>+G123-L123</f>
        <v>0</v>
      </c>
    </row>
  </sheetData>
  <mergeCells count="4">
    <mergeCell ref="A4:J4"/>
    <mergeCell ref="I5:J5"/>
    <mergeCell ref="A3:J3"/>
    <mergeCell ref="E7:H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7">
    <tabColor rgb="FF00B0F0"/>
  </sheetPr>
  <dimension ref="A1:AD242"/>
  <sheetViews>
    <sheetView zoomScaleNormal="100" workbookViewId="0"/>
  </sheetViews>
  <sheetFormatPr defaultRowHeight="12"/>
  <cols>
    <col min="1" max="1" width="6.5703125" style="4" customWidth="1"/>
    <col min="2" max="2" width="109.5703125" style="4" bestFit="1" customWidth="1"/>
    <col min="3" max="5" width="9.28515625" style="4" customWidth="1"/>
    <col min="6" max="6" width="9.28515625" style="1565" customWidth="1"/>
    <col min="7" max="9" width="9.28515625" style="4" customWidth="1"/>
    <col min="10" max="12" width="10.5703125" style="4" hidden="1" customWidth="1"/>
    <col min="13" max="13" width="9.140625" style="4" hidden="1" customWidth="1"/>
    <col min="14" max="15" width="0" style="4" hidden="1" customWidth="1"/>
    <col min="16" max="16384" width="9.140625" style="4"/>
  </cols>
  <sheetData>
    <row r="1" spans="1:13" s="50" customFormat="1" ht="15.75">
      <c r="F1" s="1547"/>
      <c r="I1" s="51" t="s">
        <v>47</v>
      </c>
    </row>
    <row r="2" spans="1:13" s="50" customFormat="1" ht="15.75">
      <c r="F2" s="1547"/>
    </row>
    <row r="3" spans="1:13" s="52" customFormat="1" ht="15.75">
      <c r="A3" s="1789" t="s">
        <v>331</v>
      </c>
      <c r="B3" s="1789"/>
      <c r="C3" s="1789"/>
      <c r="D3" s="1789"/>
      <c r="E3" s="1789"/>
      <c r="F3" s="1789"/>
      <c r="G3" s="1789"/>
      <c r="H3" s="1789"/>
      <c r="I3" s="1789"/>
    </row>
    <row r="4" spans="1:13" s="52" customFormat="1" ht="15.75">
      <c r="A4" s="1789" t="s">
        <v>1305</v>
      </c>
      <c r="B4" s="1789"/>
      <c r="C4" s="1789"/>
      <c r="D4" s="1789"/>
      <c r="E4" s="1789"/>
      <c r="F4" s="1789"/>
      <c r="G4" s="1789"/>
      <c r="H4" s="1789"/>
      <c r="I4" s="1789"/>
    </row>
    <row r="5" spans="1:13" s="50" customFormat="1" ht="15.75">
      <c r="F5" s="1547"/>
    </row>
    <row r="6" spans="1:13" s="52" customFormat="1" ht="15.75">
      <c r="A6" s="1789" t="s">
        <v>48</v>
      </c>
      <c r="B6" s="1789"/>
      <c r="C6" s="1789"/>
      <c r="D6" s="1789"/>
      <c r="E6" s="1789"/>
      <c r="F6" s="1789"/>
      <c r="G6" s="1789"/>
      <c r="H6" s="1789"/>
      <c r="I6" s="1789"/>
    </row>
    <row r="7" spans="1:13" s="36" customFormat="1" ht="12.75" thickBot="1">
      <c r="A7" s="38" t="s">
        <v>280</v>
      </c>
      <c r="F7" s="1548"/>
      <c r="I7" s="37" t="s">
        <v>281</v>
      </c>
    </row>
    <row r="8" spans="1:13" s="8" customFormat="1" ht="54" customHeight="1" thickBot="1">
      <c r="A8" s="79" t="s">
        <v>17</v>
      </c>
      <c r="B8" s="93" t="s">
        <v>328</v>
      </c>
      <c r="C8" s="1570" t="s">
        <v>1553</v>
      </c>
      <c r="D8" s="1571" t="s">
        <v>1554</v>
      </c>
      <c r="E8" s="6" t="s">
        <v>2646</v>
      </c>
      <c r="F8" s="1549" t="s">
        <v>2645</v>
      </c>
      <c r="G8" s="5" t="s">
        <v>51</v>
      </c>
      <c r="H8" s="6" t="s">
        <v>52</v>
      </c>
      <c r="I8" s="7" t="s">
        <v>53</v>
      </c>
    </row>
    <row r="9" spans="1:13" s="3" customFormat="1" ht="13.5" customHeight="1" thickBot="1">
      <c r="A9" s="83" t="s">
        <v>253</v>
      </c>
      <c r="B9" s="1764" t="s">
        <v>254</v>
      </c>
      <c r="C9" s="1791" t="s">
        <v>255</v>
      </c>
      <c r="D9" s="1792"/>
      <c r="E9" s="1792"/>
      <c r="F9" s="1792"/>
      <c r="G9" s="1792"/>
      <c r="H9" s="1792"/>
      <c r="I9" s="1793"/>
    </row>
    <row r="10" spans="1:13" s="3" customFormat="1" ht="12.75" thickBot="1">
      <c r="A10" s="95" t="s">
        <v>4</v>
      </c>
      <c r="B10" s="63" t="s">
        <v>297</v>
      </c>
      <c r="C10" s="1133">
        <f t="shared" ref="C10:E10" si="0">+C11+C25+C32+C44</f>
        <v>1485199</v>
      </c>
      <c r="D10" s="1142">
        <f t="shared" si="0"/>
        <v>2224500</v>
      </c>
      <c r="E10" s="1142">
        <f t="shared" si="0"/>
        <v>2037989</v>
      </c>
      <c r="F10" s="1568">
        <f t="shared" ref="F10:F73" si="1">IF(ISERROR(E10/D10),"-",E10/D10)</f>
        <v>0.91615599011013715</v>
      </c>
      <c r="G10" s="31">
        <f>+G11+G25+G32+G44</f>
        <v>2005145</v>
      </c>
      <c r="H10" s="32">
        <f>+H11+H25+H32+H44</f>
        <v>26322</v>
      </c>
      <c r="I10" s="33">
        <f>+I11+I25+I32+I44</f>
        <v>6522</v>
      </c>
      <c r="J10" s="628">
        <f>+C10/$C$102</f>
        <v>0.32124781456383528</v>
      </c>
      <c r="K10" s="628">
        <f>+D10/$D$102</f>
        <v>0.3345997332828739</v>
      </c>
      <c r="L10" s="628">
        <f>+E10/$E$102</f>
        <v>0.31571466614078253</v>
      </c>
      <c r="M10" s="3">
        <f t="shared" ref="M10:M73" si="2">+E10-G10-H10-I10</f>
        <v>0</v>
      </c>
    </row>
    <row r="11" spans="1:13" s="3" customFormat="1" ht="12.75" customHeight="1" thickBot="1">
      <c r="A11" s="83" t="s">
        <v>5</v>
      </c>
      <c r="B11" s="64" t="s">
        <v>298</v>
      </c>
      <c r="C11" s="1134">
        <f t="shared" ref="C11:E11" si="3">+C12+C19+C20+C21+C22+C23</f>
        <v>962806</v>
      </c>
      <c r="D11" s="1143">
        <f t="shared" si="3"/>
        <v>1466167</v>
      </c>
      <c r="E11" s="1143">
        <f t="shared" si="3"/>
        <v>1466167</v>
      </c>
      <c r="F11" s="1558">
        <f t="shared" si="1"/>
        <v>1</v>
      </c>
      <c r="G11" s="27">
        <f>+G12+G19+G20+G21+G22+G23</f>
        <v>1459545</v>
      </c>
      <c r="H11" s="28">
        <f>+H12+H19+H20+H21+H22+H23</f>
        <v>100</v>
      </c>
      <c r="I11" s="29">
        <f>+I12+I19+I20+I21+I22+I23</f>
        <v>6522</v>
      </c>
      <c r="J11" s="628">
        <f>+C11/$C$102</f>
        <v>0.2082544651248405</v>
      </c>
      <c r="K11" s="628">
        <f>+D11/$D$102</f>
        <v>0.22053454131182348</v>
      </c>
      <c r="L11" s="628">
        <f>+E11/$E$102</f>
        <v>0.22713097318564168</v>
      </c>
      <c r="M11" s="3">
        <f t="shared" si="2"/>
        <v>0</v>
      </c>
    </row>
    <row r="12" spans="1:13" s="3" customFormat="1">
      <c r="A12" s="84" t="s">
        <v>54</v>
      </c>
      <c r="B12" s="65" t="s">
        <v>299</v>
      </c>
      <c r="C12" s="1135">
        <f t="shared" ref="C12:E12" si="4">+C13+C14+C15+C16+C17+C18</f>
        <v>888836</v>
      </c>
      <c r="D12" s="1144">
        <f t="shared" si="4"/>
        <v>907273</v>
      </c>
      <c r="E12" s="1144">
        <f t="shared" si="4"/>
        <v>907273</v>
      </c>
      <c r="F12" s="1560">
        <f t="shared" si="1"/>
        <v>1</v>
      </c>
      <c r="G12" s="18">
        <f>+G13+G14+G15+G16+G17+G18</f>
        <v>907273</v>
      </c>
      <c r="H12" s="9">
        <f>+H13+H14+H15+H16+H17+H18</f>
        <v>0</v>
      </c>
      <c r="I12" s="14">
        <f>+I13+I14+I15+I16+I17+I18</f>
        <v>0</v>
      </c>
      <c r="M12" s="4">
        <f t="shared" si="2"/>
        <v>0</v>
      </c>
    </row>
    <row r="13" spans="1:13" s="13" customFormat="1">
      <c r="A13" s="86" t="s">
        <v>190</v>
      </c>
      <c r="B13" s="66" t="s">
        <v>93</v>
      </c>
      <c r="C13" s="1136">
        <f>+'1.1.mell._ÖNK_Mérleg2019'!C13+'1.2.mell._HKÖH_Mérleg2019'!C13+'1.3.mell._HVÓBKI_Mérleg2019'!C13+'1.4.mell._HKK_Mérleg2019'!C13+'1.5._mell._MŐSZ_Mérleg2019'!C13+'1.6._mell._HVGYKCSSZ_Mérleg2019'!C13</f>
        <v>221900</v>
      </c>
      <c r="D13" s="1145">
        <f>+'1.1.mell._ÖNK_Mérleg2019'!D13+'1.2.mell._HKÖH_Mérleg2019'!D13+'1.3.mell._HVÓBKI_Mérleg2019'!D13+'1.4.mell._HKK_Mérleg2019'!D13+'1.5._mell._MŐSZ_Mérleg2019'!D13+'1.6._mell._HVGYKCSSZ_Mérleg2019'!D13</f>
        <v>226970</v>
      </c>
      <c r="E13" s="1145">
        <f>+'1.1.mell._ÖNK_Mérleg2019'!E13+'1.2.mell._HKÖH_Mérleg2019'!E13+'1.3.mell._HVÓBKI_Mérleg2019'!E13+'1.4.mell._HKK_Mérleg2019'!E13+'1.5._mell._MŐSZ_Mérleg2019'!E13+'1.6._mell._HVGYKCSSZ_Mérleg2019'!E13</f>
        <v>226970</v>
      </c>
      <c r="F13" s="1562">
        <f t="shared" si="1"/>
        <v>1</v>
      </c>
      <c r="G13" s="19">
        <f>+'1.1.mell._ÖNK_Mérleg2019'!G13+'1.2.mell._HKÖH_Mérleg2019'!G13+'1.3.mell._HVÓBKI_Mérleg2019'!G13+'1.4.mell._HKK_Mérleg2019'!G13+'1.5._mell._MŐSZ_Mérleg2019'!G13+'1.6._mell._HVGYKCSSZ_Mérleg2019'!G13</f>
        <v>226970</v>
      </c>
      <c r="H13" s="12">
        <f>+'1.1.mell._ÖNK_Mérleg2019'!H13+'1.2.mell._HKÖH_Mérleg2019'!H13+'1.3.mell._HVÓBKI_Mérleg2019'!H13+'1.4.mell._HKK_Mérleg2019'!H13+'1.5._mell._MŐSZ_Mérleg2019'!H13+'1.6._mell._HVGYKCSSZ_Mérleg2019'!H13</f>
        <v>0</v>
      </c>
      <c r="I13" s="15">
        <f>+'1.1.mell._ÖNK_Mérleg2019'!I13+'1.2.mell._HKÖH_Mérleg2019'!I13+'1.3.mell._HVÓBKI_Mérleg2019'!I13+'1.4.mell._HKK_Mérleg2019'!I13+'1.5._mell._MŐSZ_Mérleg2019'!I13+'1.6._mell._HVGYKCSSZ_Mérleg2019'!I13</f>
        <v>0</v>
      </c>
      <c r="M13" s="13">
        <f t="shared" si="2"/>
        <v>0</v>
      </c>
    </row>
    <row r="14" spans="1:13" s="13" customFormat="1">
      <c r="A14" s="86" t="s">
        <v>191</v>
      </c>
      <c r="B14" s="66" t="s">
        <v>94</v>
      </c>
      <c r="C14" s="1136">
        <f>+'1.1.mell._ÖNK_Mérleg2019'!C14+'1.2.mell._HKÖH_Mérleg2019'!C14+'1.3.mell._HVÓBKI_Mérleg2019'!C14+'1.4.mell._HKK_Mérleg2019'!C14+'1.5._mell._MŐSZ_Mérleg2019'!C14+'1.6._mell._HVGYKCSSZ_Mérleg2019'!C14</f>
        <v>232153</v>
      </c>
      <c r="D14" s="1145">
        <f>+'1.1.mell._ÖNK_Mérleg2019'!D14+'1.2.mell._HKÖH_Mérleg2019'!D14+'1.3.mell._HVÓBKI_Mérleg2019'!D14+'1.4.mell._HKK_Mérleg2019'!D14+'1.5._mell._MŐSZ_Mérleg2019'!D14+'1.6._mell._HVGYKCSSZ_Mérleg2019'!D14</f>
        <v>236248</v>
      </c>
      <c r="E14" s="1145">
        <f>+'1.1.mell._ÖNK_Mérleg2019'!E14+'1.2.mell._HKÖH_Mérleg2019'!E14+'1.3.mell._HVÓBKI_Mérleg2019'!E14+'1.4.mell._HKK_Mérleg2019'!E14+'1.5._mell._MŐSZ_Mérleg2019'!E14+'1.6._mell._HVGYKCSSZ_Mérleg2019'!E14</f>
        <v>236248</v>
      </c>
      <c r="F14" s="1562">
        <f t="shared" si="1"/>
        <v>1</v>
      </c>
      <c r="G14" s="19">
        <f>+'1.1.mell._ÖNK_Mérleg2019'!G14+'1.2.mell._HKÖH_Mérleg2019'!G14+'1.3.mell._HVÓBKI_Mérleg2019'!G14+'1.4.mell._HKK_Mérleg2019'!G14+'1.5._mell._MŐSZ_Mérleg2019'!G14+'1.6._mell._HVGYKCSSZ_Mérleg2019'!G14</f>
        <v>236248</v>
      </c>
      <c r="H14" s="12">
        <f>+'1.1.mell._ÖNK_Mérleg2019'!H14+'1.2.mell._HKÖH_Mérleg2019'!H14+'1.3.mell._HVÓBKI_Mérleg2019'!H14+'1.4.mell._HKK_Mérleg2019'!H14+'1.5._mell._MŐSZ_Mérleg2019'!H14+'1.6._mell._HVGYKCSSZ_Mérleg2019'!H14</f>
        <v>0</v>
      </c>
      <c r="I14" s="15">
        <f>+'1.1.mell._ÖNK_Mérleg2019'!I14+'1.2.mell._HKÖH_Mérleg2019'!I14+'1.3.mell._HVÓBKI_Mérleg2019'!I14+'1.4.mell._HKK_Mérleg2019'!I14+'1.5._mell._MŐSZ_Mérleg2019'!I14+'1.6._mell._HVGYKCSSZ_Mérleg2019'!I14</f>
        <v>0</v>
      </c>
      <c r="M14" s="13">
        <f t="shared" si="2"/>
        <v>0</v>
      </c>
    </row>
    <row r="15" spans="1:13" s="13" customFormat="1">
      <c r="A15" s="86" t="s">
        <v>192</v>
      </c>
      <c r="B15" s="66" t="s">
        <v>95</v>
      </c>
      <c r="C15" s="1136">
        <f>+'1.1.mell._ÖNK_Mérleg2019'!C15+'1.2.mell._HKÖH_Mérleg2019'!C15+'1.3.mell._HVÓBKI_Mérleg2019'!C15+'1.4.mell._HKK_Mérleg2019'!C15+'1.5._mell._MŐSZ_Mérleg2019'!C15+'1.6._mell._HVGYKCSSZ_Mérleg2019'!C15</f>
        <v>280259</v>
      </c>
      <c r="D15" s="1145">
        <f>+'1.1.mell._ÖNK_Mérleg2019'!D15+'1.2.mell._HKÖH_Mérleg2019'!D15+'1.3.mell._HVÓBKI_Mérleg2019'!D15+'1.4.mell._HKK_Mérleg2019'!D15+'1.5._mell._MŐSZ_Mérleg2019'!D15+'1.6._mell._HVGYKCSSZ_Mérleg2019'!D15</f>
        <v>297362</v>
      </c>
      <c r="E15" s="1145">
        <f>+'1.1.mell._ÖNK_Mérleg2019'!E15+'1.2.mell._HKÖH_Mérleg2019'!E15+'1.3.mell._HVÓBKI_Mérleg2019'!E15+'1.4.mell._HKK_Mérleg2019'!E15+'1.5._mell._MŐSZ_Mérleg2019'!E15+'1.6._mell._HVGYKCSSZ_Mérleg2019'!E15</f>
        <v>297362</v>
      </c>
      <c r="F15" s="1562">
        <f t="shared" si="1"/>
        <v>1</v>
      </c>
      <c r="G15" s="19">
        <f>+'1.1.mell._ÖNK_Mérleg2019'!G15+'1.2.mell._HKÖH_Mérleg2019'!G15+'1.3.mell._HVÓBKI_Mérleg2019'!G15+'1.4.mell._HKK_Mérleg2019'!G15+'1.5._mell._MŐSZ_Mérleg2019'!G15+'1.6._mell._HVGYKCSSZ_Mérleg2019'!G15</f>
        <v>297362</v>
      </c>
      <c r="H15" s="12">
        <f>+'1.1.mell._ÖNK_Mérleg2019'!H15+'1.2.mell._HKÖH_Mérleg2019'!H15+'1.3.mell._HVÓBKI_Mérleg2019'!H15+'1.4.mell._HKK_Mérleg2019'!H15+'1.5._mell._MŐSZ_Mérleg2019'!H15+'1.6._mell._HVGYKCSSZ_Mérleg2019'!H15</f>
        <v>0</v>
      </c>
      <c r="I15" s="15">
        <f>+'1.1.mell._ÖNK_Mérleg2019'!I15+'1.2.mell._HKÖH_Mérleg2019'!I15+'1.3.mell._HVÓBKI_Mérleg2019'!I15+'1.4.mell._HKK_Mérleg2019'!I15+'1.5._mell._MŐSZ_Mérleg2019'!I15+'1.6._mell._HVGYKCSSZ_Mérleg2019'!I15</f>
        <v>0</v>
      </c>
      <c r="M15" s="13">
        <f t="shared" si="2"/>
        <v>0</v>
      </c>
    </row>
    <row r="16" spans="1:13" s="13" customFormat="1">
      <c r="A16" s="86" t="s">
        <v>193</v>
      </c>
      <c r="B16" s="66" t="s">
        <v>96</v>
      </c>
      <c r="C16" s="1136">
        <f>+'1.1.mell._ÖNK_Mérleg2019'!C16+'1.2.mell._HKÖH_Mérleg2019'!C16+'1.3.mell._HVÓBKI_Mérleg2019'!C16+'1.4.mell._HKK_Mérleg2019'!C16+'1.5._mell._MŐSZ_Mérleg2019'!C16+'1.6._mell._HVGYKCSSZ_Mérleg2019'!C16</f>
        <v>19679</v>
      </c>
      <c r="D16" s="1145">
        <f>+'1.1.mell._ÖNK_Mérleg2019'!D16+'1.2.mell._HKÖH_Mérleg2019'!D16+'1.3.mell._HVÓBKI_Mérleg2019'!D16+'1.4.mell._HKK_Mérleg2019'!D16+'1.5._mell._MŐSZ_Mérleg2019'!D16+'1.6._mell._HVGYKCSSZ_Mérleg2019'!D16</f>
        <v>22593</v>
      </c>
      <c r="E16" s="1145">
        <f>+'1.1.mell._ÖNK_Mérleg2019'!E16+'1.2.mell._HKÖH_Mérleg2019'!E16+'1.3.mell._HVÓBKI_Mérleg2019'!E16+'1.4.mell._HKK_Mérleg2019'!E16+'1.5._mell._MŐSZ_Mérleg2019'!E16+'1.6._mell._HVGYKCSSZ_Mérleg2019'!E16</f>
        <v>22593</v>
      </c>
      <c r="F16" s="1562">
        <f t="shared" si="1"/>
        <v>1</v>
      </c>
      <c r="G16" s="19">
        <f>+'1.1.mell._ÖNK_Mérleg2019'!G16+'1.2.mell._HKÖH_Mérleg2019'!G16+'1.3.mell._HVÓBKI_Mérleg2019'!G16+'1.4.mell._HKK_Mérleg2019'!G16+'1.5._mell._MŐSZ_Mérleg2019'!G16+'1.6._mell._HVGYKCSSZ_Mérleg2019'!G16</f>
        <v>22593</v>
      </c>
      <c r="H16" s="12">
        <f>+'1.1.mell._ÖNK_Mérleg2019'!H16+'1.2.mell._HKÖH_Mérleg2019'!H16+'1.3.mell._HVÓBKI_Mérleg2019'!H16+'1.4.mell._HKK_Mérleg2019'!H16+'1.5._mell._MŐSZ_Mérleg2019'!H16+'1.6._mell._HVGYKCSSZ_Mérleg2019'!H16</f>
        <v>0</v>
      </c>
      <c r="I16" s="15">
        <f>+'1.1.mell._ÖNK_Mérleg2019'!I16+'1.2.mell._HKÖH_Mérleg2019'!I16+'1.3.mell._HVÓBKI_Mérleg2019'!I16+'1.4.mell._HKK_Mérleg2019'!I16+'1.5._mell._MŐSZ_Mérleg2019'!I16+'1.6._mell._HVGYKCSSZ_Mérleg2019'!I16</f>
        <v>0</v>
      </c>
      <c r="M16" s="13">
        <f t="shared" si="2"/>
        <v>0</v>
      </c>
    </row>
    <row r="17" spans="1:13" s="117" customFormat="1">
      <c r="A17" s="86" t="s">
        <v>194</v>
      </c>
      <c r="B17" s="66" t="s">
        <v>899</v>
      </c>
      <c r="C17" s="1037">
        <f>+'1.1.mell._ÖNK_Mérleg2019'!C17+'1.2.mell._HKÖH_Mérleg2019'!C17+'1.3.mell._HVÓBKI_Mérleg2019'!C17+'1.4.mell._HKK_Mérleg2019'!C17+'1.5._mell._MŐSZ_Mérleg2019'!C17+'1.6._mell._HVGYKCSSZ_Mérleg2019'!C17</f>
        <v>134845</v>
      </c>
      <c r="D17" s="1121">
        <f>+'1.1.mell._ÖNK_Mérleg2019'!D17+'1.2.mell._HKÖH_Mérleg2019'!D17+'1.3.mell._HVÓBKI_Mérleg2019'!D17+'1.4.mell._HKK_Mérleg2019'!D17+'1.5._mell._MŐSZ_Mérleg2019'!D17+'1.6._mell._HVGYKCSSZ_Mérleg2019'!D17</f>
        <v>124100</v>
      </c>
      <c r="E17" s="1121">
        <f>+'1.1.mell._ÖNK_Mérleg2019'!E17+'1.2.mell._HKÖH_Mérleg2019'!E17+'1.3.mell._HVÓBKI_Mérleg2019'!E17+'1.4.mell._HKK_Mérleg2019'!E17+'1.5._mell._MŐSZ_Mérleg2019'!E17+'1.6._mell._HVGYKCSSZ_Mérleg2019'!E17</f>
        <v>124100</v>
      </c>
      <c r="F17" s="1569">
        <f t="shared" si="1"/>
        <v>1</v>
      </c>
      <c r="G17" s="656">
        <f>+'1.1.mell._ÖNK_Mérleg2019'!G17+'1.2.mell._HKÖH_Mérleg2019'!G17+'1.3.mell._HVÓBKI_Mérleg2019'!G17+'1.4.mell._HKK_Mérleg2019'!G17+'1.5._mell._MŐSZ_Mérleg2019'!G17+'1.6._mell._HVGYKCSSZ_Mérleg2019'!G17</f>
        <v>124100</v>
      </c>
      <c r="H17" s="657">
        <f>+'1.1.mell._ÖNK_Mérleg2019'!H17+'1.2.mell._HKÖH_Mérleg2019'!H17+'1.3.mell._HVÓBKI_Mérleg2019'!H17+'1.4.mell._HKK_Mérleg2019'!H17+'1.5._mell._MŐSZ_Mérleg2019'!H17+'1.6._mell._HVGYKCSSZ_Mérleg2019'!H17</f>
        <v>0</v>
      </c>
      <c r="I17" s="658">
        <f>+'1.1.mell._ÖNK_Mérleg2019'!I17+'1.2.mell._HKÖH_Mérleg2019'!I17+'1.3.mell._HVÓBKI_Mérleg2019'!I17+'1.4.mell._HKK_Mérleg2019'!I17+'1.5._mell._MŐSZ_Mérleg2019'!I17+'1.6._mell._HVGYKCSSZ_Mérleg2019'!I17</f>
        <v>0</v>
      </c>
      <c r="J17" s="628">
        <f>+C17/$C$102</f>
        <v>2.9166907299870502E-2</v>
      </c>
      <c r="K17" s="628">
        <f>+D17/$D$102</f>
        <v>1.8666588851609191E-2</v>
      </c>
      <c r="L17" s="628">
        <f>+E17/$E$102</f>
        <v>1.922492715518637E-2</v>
      </c>
      <c r="M17" s="13">
        <f t="shared" si="2"/>
        <v>0</v>
      </c>
    </row>
    <row r="18" spans="1:13" s="117" customFormat="1">
      <c r="A18" s="86" t="s">
        <v>195</v>
      </c>
      <c r="B18" s="66" t="s">
        <v>900</v>
      </c>
      <c r="C18" s="1037">
        <f>+'1.1.mell._ÖNK_Mérleg2019'!C18+'1.2.mell._HKÖH_Mérleg2019'!C18+'1.3.mell._HVÓBKI_Mérleg2019'!C18+'1.4.mell._HKK_Mérleg2019'!C18+'1.5._mell._MŐSZ_Mérleg2019'!C18+'1.6._mell._HVGYKCSSZ_Mérleg2019'!C18</f>
        <v>0</v>
      </c>
      <c r="D18" s="1121">
        <f>+'1.1.mell._ÖNK_Mérleg2019'!D18+'1.2.mell._HKÖH_Mérleg2019'!D18+'1.3.mell._HVÓBKI_Mérleg2019'!D18+'1.4.mell._HKK_Mérleg2019'!D18+'1.5._mell._MŐSZ_Mérleg2019'!D18+'1.6._mell._HVGYKCSSZ_Mérleg2019'!D18</f>
        <v>0</v>
      </c>
      <c r="E18" s="1121">
        <f>+'1.1.mell._ÖNK_Mérleg2019'!E18+'1.2.mell._HKÖH_Mérleg2019'!E18+'1.3.mell._HVÓBKI_Mérleg2019'!E18+'1.4.mell._HKK_Mérleg2019'!E18+'1.5._mell._MŐSZ_Mérleg2019'!E18+'1.6._mell._HVGYKCSSZ_Mérleg2019'!E18</f>
        <v>0</v>
      </c>
      <c r="F18" s="1569" t="str">
        <f t="shared" si="1"/>
        <v>-</v>
      </c>
      <c r="G18" s="656">
        <f>+'1.1.mell._ÖNK_Mérleg2019'!G18+'1.2.mell._HKÖH_Mérleg2019'!G18+'1.3.mell._HVÓBKI_Mérleg2019'!G18+'1.4.mell._HKK_Mérleg2019'!G18+'1.5._mell._MŐSZ_Mérleg2019'!G18+'1.6._mell._HVGYKCSSZ_Mérleg2019'!G18</f>
        <v>0</v>
      </c>
      <c r="H18" s="657">
        <f>+'1.1.mell._ÖNK_Mérleg2019'!H18+'1.2.mell._HKÖH_Mérleg2019'!H18+'1.3.mell._HVÓBKI_Mérleg2019'!H18+'1.4.mell._HKK_Mérleg2019'!H18+'1.5._mell._MŐSZ_Mérleg2019'!H18+'1.6._mell._HVGYKCSSZ_Mérleg2019'!H18</f>
        <v>0</v>
      </c>
      <c r="I18" s="658">
        <f>+'1.1.mell._ÖNK_Mérleg2019'!I18+'1.2.mell._HKÖH_Mérleg2019'!I18+'1.3.mell._HVÓBKI_Mérleg2019'!I18+'1.4.mell._HKK_Mérleg2019'!I18+'1.5._mell._MŐSZ_Mérleg2019'!I18+'1.6._mell._HVGYKCSSZ_Mérleg2019'!I18</f>
        <v>0</v>
      </c>
      <c r="M18" s="13">
        <f t="shared" si="2"/>
        <v>0</v>
      </c>
    </row>
    <row r="19" spans="1:13">
      <c r="A19" s="85" t="s">
        <v>55</v>
      </c>
      <c r="B19" s="67" t="s">
        <v>97</v>
      </c>
      <c r="C19" s="1137">
        <f>+'1.1.mell._ÖNK_Mérleg2019'!C19+'1.2.mell._HKÖH_Mérleg2019'!C19+'1.3.mell._HVÓBKI_Mérleg2019'!C19+'1.4.mell._HKK_Mérleg2019'!C19+'1.5._mell._MŐSZ_Mérleg2019'!C19+'1.6._mell._HVGYKCSSZ_Mérleg2019'!C19</f>
        <v>3090</v>
      </c>
      <c r="D19" s="1146">
        <f>+'1.1.mell._ÖNK_Mérleg2019'!D19+'1.2.mell._HKÖH_Mérleg2019'!D19+'1.3.mell._HVÓBKI_Mérleg2019'!D19+'1.4.mell._HKK_Mérleg2019'!D19+'1.5._mell._MŐSZ_Mérleg2019'!D19+'1.6._mell._HVGYKCSSZ_Mérleg2019'!D19</f>
        <v>3007</v>
      </c>
      <c r="E19" s="1146">
        <f>+'1.1.mell._ÖNK_Mérleg2019'!E19+'1.2.mell._HKÖH_Mérleg2019'!E19+'1.3.mell._HVÓBKI_Mérleg2019'!E19+'1.4.mell._HKK_Mérleg2019'!E19+'1.5._mell._MŐSZ_Mérleg2019'!E19+'1.6._mell._HVGYKCSSZ_Mérleg2019'!E19</f>
        <v>3007</v>
      </c>
      <c r="F19" s="1562">
        <f t="shared" si="1"/>
        <v>1</v>
      </c>
      <c r="G19" s="20">
        <f>+'1.1.mell._ÖNK_Mérleg2019'!G19+'1.2.mell._HKÖH_Mérleg2019'!G19+'1.3.mell._HVÓBKI_Mérleg2019'!G19+'1.4.mell._HKK_Mérleg2019'!G19+'1.5._mell._MŐSZ_Mérleg2019'!G19+'1.6._mell._HVGYKCSSZ_Mérleg2019'!G19</f>
        <v>3007</v>
      </c>
      <c r="H19" s="11">
        <f>+'1.1.mell._ÖNK_Mérleg2019'!H19+'1.2.mell._HKÖH_Mérleg2019'!H19+'1.3.mell._HVÓBKI_Mérleg2019'!H19+'1.4.mell._HKK_Mérleg2019'!H19+'1.5._mell._MŐSZ_Mérleg2019'!H19+'1.6._mell._HVGYKCSSZ_Mérleg2019'!H19</f>
        <v>0</v>
      </c>
      <c r="I19" s="16">
        <f>+'1.1.mell._ÖNK_Mérleg2019'!I19+'1.2.mell._HKÖH_Mérleg2019'!I19+'1.3.mell._HVÓBKI_Mérleg2019'!I19+'1.4.mell._HKK_Mérleg2019'!I19+'1.5._mell._MŐSZ_Mérleg2019'!I19+'1.6._mell._HVGYKCSSZ_Mérleg2019'!I19</f>
        <v>0</v>
      </c>
      <c r="M19" s="4">
        <f t="shared" si="2"/>
        <v>0</v>
      </c>
    </row>
    <row r="20" spans="1:13">
      <c r="A20" s="85" t="s">
        <v>83</v>
      </c>
      <c r="B20" s="67" t="s">
        <v>98</v>
      </c>
      <c r="C20" s="1137">
        <f>+'1.1.mell._ÖNK_Mérleg2019'!C20+'1.2.mell._HKÖH_Mérleg2019'!C20+'1.3.mell._HVÓBKI_Mérleg2019'!C20+'1.4.mell._HKK_Mérleg2019'!C20+'1.5._mell._MŐSZ_Mérleg2019'!C20+'1.6._mell._HVGYKCSSZ_Mérleg2019'!C20</f>
        <v>0</v>
      </c>
      <c r="D20" s="1146">
        <f>+'1.1.mell._ÖNK_Mérleg2019'!D20+'1.2.mell._HKÖH_Mérleg2019'!D20+'1.3.mell._HVÓBKI_Mérleg2019'!D20+'1.4.mell._HKK_Mérleg2019'!D20+'1.5._mell._MŐSZ_Mérleg2019'!D20+'1.6._mell._HVGYKCSSZ_Mérleg2019'!D20</f>
        <v>0</v>
      </c>
      <c r="E20" s="1146">
        <f>+'1.1.mell._ÖNK_Mérleg2019'!E20+'1.2.mell._HKÖH_Mérleg2019'!E20+'1.3.mell._HVÓBKI_Mérleg2019'!E20+'1.4.mell._HKK_Mérleg2019'!E20+'1.5._mell._MŐSZ_Mérleg2019'!E20+'1.6._mell._HVGYKCSSZ_Mérleg2019'!E20</f>
        <v>0</v>
      </c>
      <c r="F20" s="1562" t="str">
        <f t="shared" si="1"/>
        <v>-</v>
      </c>
      <c r="G20" s="20">
        <f>+'1.1.mell._ÖNK_Mérleg2019'!G20+'1.2.mell._HKÖH_Mérleg2019'!G20+'1.3.mell._HVÓBKI_Mérleg2019'!G20+'1.4.mell._HKK_Mérleg2019'!G20+'1.5._mell._MŐSZ_Mérleg2019'!G20+'1.6._mell._HVGYKCSSZ_Mérleg2019'!G20</f>
        <v>0</v>
      </c>
      <c r="H20" s="11">
        <f>+'1.1.mell._ÖNK_Mérleg2019'!H20+'1.2.mell._HKÖH_Mérleg2019'!H20+'1.3.mell._HVÓBKI_Mérleg2019'!H20+'1.4.mell._HKK_Mérleg2019'!H20+'1.5._mell._MŐSZ_Mérleg2019'!H20+'1.6._mell._HVGYKCSSZ_Mérleg2019'!H20</f>
        <v>0</v>
      </c>
      <c r="I20" s="16">
        <f>+'1.1.mell._ÖNK_Mérleg2019'!I20+'1.2.mell._HKÖH_Mérleg2019'!I20+'1.3.mell._HVÓBKI_Mérleg2019'!I20+'1.4.mell._HKK_Mérleg2019'!I20+'1.5._mell._MŐSZ_Mérleg2019'!I20+'1.6._mell._HVGYKCSSZ_Mérleg2019'!I20</f>
        <v>0</v>
      </c>
      <c r="M20" s="4">
        <f t="shared" si="2"/>
        <v>0</v>
      </c>
    </row>
    <row r="21" spans="1:13">
      <c r="A21" s="85" t="s">
        <v>84</v>
      </c>
      <c r="B21" s="67" t="s">
        <v>99</v>
      </c>
      <c r="C21" s="1137">
        <f>+'1.1.mell._ÖNK_Mérleg2019'!C21+'1.2.mell._HKÖH_Mérleg2019'!C21+'1.3.mell._HVÓBKI_Mérleg2019'!C21+'1.4.mell._HKK_Mérleg2019'!C21+'1.5._mell._MŐSZ_Mérleg2019'!C21+'1.6._mell._HVGYKCSSZ_Mérleg2019'!C21</f>
        <v>0</v>
      </c>
      <c r="D21" s="1146">
        <f>+'1.1.mell._ÖNK_Mérleg2019'!D21+'1.2.mell._HKÖH_Mérleg2019'!D21+'1.3.mell._HVÓBKI_Mérleg2019'!D21+'1.4.mell._HKK_Mérleg2019'!D21+'1.5._mell._MŐSZ_Mérleg2019'!D21+'1.6._mell._HVGYKCSSZ_Mérleg2019'!D21</f>
        <v>0</v>
      </c>
      <c r="E21" s="1146">
        <f>+'1.1.mell._ÖNK_Mérleg2019'!E21+'1.2.mell._HKÖH_Mérleg2019'!E21+'1.3.mell._HVÓBKI_Mérleg2019'!E21+'1.4.mell._HKK_Mérleg2019'!E21+'1.5._mell._MŐSZ_Mérleg2019'!E21+'1.6._mell._HVGYKCSSZ_Mérleg2019'!E21</f>
        <v>0</v>
      </c>
      <c r="F21" s="1562" t="str">
        <f t="shared" si="1"/>
        <v>-</v>
      </c>
      <c r="G21" s="20">
        <f>+'1.1.mell._ÖNK_Mérleg2019'!G21+'1.2.mell._HKÖH_Mérleg2019'!G21+'1.3.mell._HVÓBKI_Mérleg2019'!G21+'1.4.mell._HKK_Mérleg2019'!G21+'1.5._mell._MŐSZ_Mérleg2019'!G21+'1.6._mell._HVGYKCSSZ_Mérleg2019'!G21</f>
        <v>0</v>
      </c>
      <c r="H21" s="11">
        <f>+'1.1.mell._ÖNK_Mérleg2019'!H21+'1.2.mell._HKÖH_Mérleg2019'!H21+'1.3.mell._HVÓBKI_Mérleg2019'!H21+'1.4.mell._HKK_Mérleg2019'!H21+'1.5._mell._MŐSZ_Mérleg2019'!H21+'1.6._mell._HVGYKCSSZ_Mérleg2019'!H21</f>
        <v>0</v>
      </c>
      <c r="I21" s="16">
        <f>+'1.1.mell._ÖNK_Mérleg2019'!I21+'1.2.mell._HKÖH_Mérleg2019'!I21+'1.3.mell._HVÓBKI_Mérleg2019'!I21+'1.4.mell._HKK_Mérleg2019'!I21+'1.5._mell._MŐSZ_Mérleg2019'!I21+'1.6._mell._HVGYKCSSZ_Mérleg2019'!I21</f>
        <v>0</v>
      </c>
      <c r="M21" s="4">
        <f t="shared" si="2"/>
        <v>0</v>
      </c>
    </row>
    <row r="22" spans="1:13">
      <c r="A22" s="85" t="s">
        <v>85</v>
      </c>
      <c r="B22" s="67" t="s">
        <v>100</v>
      </c>
      <c r="C22" s="1137">
        <f>+'1.1.mell._ÖNK_Mérleg2019'!C22+'1.2.mell._HKÖH_Mérleg2019'!C22+'1.3.mell._HVÓBKI_Mérleg2019'!C22+'1.4.mell._HKK_Mérleg2019'!C22+'1.5._mell._MŐSZ_Mérleg2019'!C22+'1.6._mell._HVGYKCSSZ_Mérleg2019'!C22</f>
        <v>0</v>
      </c>
      <c r="D22" s="1146">
        <f>+'1.1.mell._ÖNK_Mérleg2019'!D22+'1.2.mell._HKÖH_Mérleg2019'!D22+'1.3.mell._HVÓBKI_Mérleg2019'!D22+'1.4.mell._HKK_Mérleg2019'!D22+'1.5._mell._MŐSZ_Mérleg2019'!D22+'1.6._mell._HVGYKCSSZ_Mérleg2019'!D22</f>
        <v>0</v>
      </c>
      <c r="E22" s="1146">
        <f>+'1.1.mell._ÖNK_Mérleg2019'!E22+'1.2.mell._HKÖH_Mérleg2019'!E22+'1.3.mell._HVÓBKI_Mérleg2019'!E22+'1.4.mell._HKK_Mérleg2019'!E22+'1.5._mell._MŐSZ_Mérleg2019'!E22+'1.6._mell._HVGYKCSSZ_Mérleg2019'!E22</f>
        <v>0</v>
      </c>
      <c r="F22" s="1562" t="str">
        <f t="shared" si="1"/>
        <v>-</v>
      </c>
      <c r="G22" s="20">
        <f>+'1.1.mell._ÖNK_Mérleg2019'!G22+'1.2.mell._HKÖH_Mérleg2019'!G22+'1.3.mell._HVÓBKI_Mérleg2019'!G22+'1.4.mell._HKK_Mérleg2019'!G22+'1.5._mell._MŐSZ_Mérleg2019'!G22+'1.6._mell._HVGYKCSSZ_Mérleg2019'!G22</f>
        <v>0</v>
      </c>
      <c r="H22" s="11">
        <f>+'1.1.mell._ÖNK_Mérleg2019'!H22+'1.2.mell._HKÖH_Mérleg2019'!H22+'1.3.mell._HVÓBKI_Mérleg2019'!H22+'1.4.mell._HKK_Mérleg2019'!H22+'1.5._mell._MŐSZ_Mérleg2019'!H22+'1.6._mell._HVGYKCSSZ_Mérleg2019'!H22</f>
        <v>0</v>
      </c>
      <c r="I22" s="16">
        <f>+'1.1.mell._ÖNK_Mérleg2019'!I22+'1.2.mell._HKÖH_Mérleg2019'!I22+'1.3.mell._HVÓBKI_Mérleg2019'!I22+'1.4.mell._HKK_Mérleg2019'!I22+'1.5._mell._MŐSZ_Mérleg2019'!I22+'1.6._mell._HVGYKCSSZ_Mérleg2019'!I22</f>
        <v>0</v>
      </c>
      <c r="M22" s="4">
        <f t="shared" si="2"/>
        <v>0</v>
      </c>
    </row>
    <row r="23" spans="1:13">
      <c r="A23" s="78" t="s">
        <v>86</v>
      </c>
      <c r="B23" s="68" t="s">
        <v>101</v>
      </c>
      <c r="C23" s="1138">
        <f>+'1.1.mell._ÖNK_Mérleg2019'!C23+'1.2.mell._HKÖH_Mérleg2019'!C23+'1.3.mell._HVÓBKI_Mérleg2019'!C23+'1.4.mell._HKK_Mérleg2019'!C23+'1.5._mell._MŐSZ_Mérleg2019'!C23+'1.6._mell._HVGYKCSSZ_Mérleg2019'!C23</f>
        <v>70880</v>
      </c>
      <c r="D23" s="1147">
        <f>+'1.1.mell._ÖNK_Mérleg2019'!D23+'1.2.mell._HKÖH_Mérleg2019'!D23+'1.3.mell._HVÓBKI_Mérleg2019'!D23+'1.4.mell._HKK_Mérleg2019'!D23+'1.5._mell._MŐSZ_Mérleg2019'!D23+'1.6._mell._HVGYKCSSZ_Mérleg2019'!D23</f>
        <v>555887</v>
      </c>
      <c r="E23" s="1147">
        <f>+'1.1.mell._ÖNK_Mérleg2019'!E23+'1.2.mell._HKÖH_Mérleg2019'!E23+'1.3.mell._HVÓBKI_Mérleg2019'!E23+'1.4.mell._HKK_Mérleg2019'!E23+'1.5._mell._MŐSZ_Mérleg2019'!E23+'1.6._mell._HVGYKCSSZ_Mérleg2019'!E23</f>
        <v>555887</v>
      </c>
      <c r="F23" s="1561">
        <f t="shared" si="1"/>
        <v>1</v>
      </c>
      <c r="G23" s="21">
        <f>+'1.1.mell._ÖNK_Mérleg2019'!G23+'1.2.mell._HKÖH_Mérleg2019'!G23+'1.3.mell._HVÓBKI_Mérleg2019'!G23+'1.4.mell._HKK_Mérleg2019'!G23+'1.5._mell._MŐSZ_Mérleg2019'!G23+'1.6._mell._HVGYKCSSZ_Mérleg2019'!G23</f>
        <v>549265</v>
      </c>
      <c r="H23" s="22">
        <f>+'1.1.mell._ÖNK_Mérleg2019'!H23+'1.2.mell._HKÖH_Mérleg2019'!H23+'1.3.mell._HVÓBKI_Mérleg2019'!H23+'1.4.mell._HKK_Mérleg2019'!H23+'1.5._mell._MŐSZ_Mérleg2019'!H23+'1.6._mell._HVGYKCSSZ_Mérleg2019'!H23</f>
        <v>100</v>
      </c>
      <c r="I23" s="23">
        <f>+'1.1.mell._ÖNK_Mérleg2019'!I23+'1.2.mell._HKÖH_Mérleg2019'!I23+'1.3.mell._HVÓBKI_Mérleg2019'!I23+'1.4.mell._HKK_Mérleg2019'!I23+'1.5._mell._MŐSZ_Mérleg2019'!I23+'1.6._mell._HVGYKCSSZ_Mérleg2019'!I23</f>
        <v>6522</v>
      </c>
      <c r="M23" s="4">
        <f t="shared" si="2"/>
        <v>0</v>
      </c>
    </row>
    <row r="24" spans="1:13" s="13" customFormat="1" ht="12.75" thickBot="1">
      <c r="A24" s="89" t="s">
        <v>332</v>
      </c>
      <c r="B24" s="704" t="s">
        <v>333</v>
      </c>
      <c r="C24" s="1139">
        <f>+'1.1.mell._ÖNK_Mérleg2019'!C24+'1.2.mell._HKÖH_Mérleg2019'!C24+'1.3.mell._HVÓBKI_Mérleg2019'!C24+'1.4.mell._HKK_Mérleg2019'!C24+'1.5._mell._MŐSZ_Mérleg2019'!C24+'1.6._mell._HVGYKCSSZ_Mérleg2019'!C24</f>
        <v>0</v>
      </c>
      <c r="D24" s="1148">
        <f>+'1.1.mell._ÖNK_Mérleg2019'!D24+'1.2.mell._HKÖH_Mérleg2019'!D24+'1.3.mell._HVÓBKI_Mérleg2019'!D24+'1.4.mell._HKK_Mérleg2019'!D24+'1.5._mell._MŐSZ_Mérleg2019'!D24+'1.6._mell._HVGYKCSSZ_Mérleg2019'!D24</f>
        <v>371747</v>
      </c>
      <c r="E24" s="1148">
        <f>+'1.1.mell._ÖNK_Mérleg2019'!E24+'1.2.mell._HKÖH_Mérleg2019'!E24+'1.3.mell._HVÓBKI_Mérleg2019'!E24+'1.4.mell._HKK_Mérleg2019'!E24+'1.5._mell._MŐSZ_Mérleg2019'!E24+'1.6._mell._HVGYKCSSZ_Mérleg2019'!E24</f>
        <v>371747</v>
      </c>
      <c r="F24" s="1561">
        <f t="shared" si="1"/>
        <v>1</v>
      </c>
      <c r="G24" s="45">
        <f>+'1.1.mell._ÖNK_Mérleg2019'!G24+'1.2.mell._HKÖH_Mérleg2019'!G24+'1.3.mell._HVÓBKI_Mérleg2019'!G24+'1.4.mell._HKK_Mérleg2019'!G24+'1.5._mell._MŐSZ_Mérleg2019'!G24+'1.6._mell._HVGYKCSSZ_Mérleg2019'!G24</f>
        <v>371747</v>
      </c>
      <c r="H24" s="43">
        <f>+'1.1.mell._ÖNK_Mérleg2019'!H24+'1.2.mell._HKÖH_Mérleg2019'!H24+'1.3.mell._HVÓBKI_Mérleg2019'!H24+'1.4.mell._HKK_Mérleg2019'!H24+'1.5._mell._MŐSZ_Mérleg2019'!H24+'1.6._mell._HVGYKCSSZ_Mérleg2019'!H24</f>
        <v>0</v>
      </c>
      <c r="I24" s="44">
        <f>+'1.1.mell._ÖNK_Mérleg2019'!I24+'1.2.mell._HKÖH_Mérleg2019'!I24+'1.3.mell._HVÓBKI_Mérleg2019'!I24+'1.4.mell._HKK_Mérleg2019'!I24+'1.5._mell._MŐSZ_Mérleg2019'!I24+'1.6._mell._HVGYKCSSZ_Mérleg2019'!I24</f>
        <v>0</v>
      </c>
      <c r="M24" s="13">
        <f t="shared" si="2"/>
        <v>0</v>
      </c>
    </row>
    <row r="25" spans="1:13" s="3" customFormat="1" ht="12.75" customHeight="1" thickBot="1">
      <c r="A25" s="83" t="s">
        <v>6</v>
      </c>
      <c r="B25" s="64" t="s">
        <v>785</v>
      </c>
      <c r="C25" s="1134">
        <f t="shared" ref="C25:E25" si="5">+C26+C27+C28+C29+C30+C31</f>
        <v>384050</v>
      </c>
      <c r="D25" s="1143">
        <f t="shared" si="5"/>
        <v>541722</v>
      </c>
      <c r="E25" s="1143">
        <f t="shared" si="5"/>
        <v>394432</v>
      </c>
      <c r="F25" s="1558">
        <f t="shared" si="1"/>
        <v>0.72810777483653977</v>
      </c>
      <c r="G25" s="27">
        <f>+G26+G27+G28+G29+G30+G31</f>
        <v>394432</v>
      </c>
      <c r="H25" s="28">
        <f>+H26+H27+H28+H29+H30+H31</f>
        <v>0</v>
      </c>
      <c r="I25" s="29">
        <f>+I26+I27+I28+I29+I30+I31</f>
        <v>0</v>
      </c>
      <c r="J25" s="628">
        <f>+C25/$C$102</f>
        <v>8.3069826456414891E-2</v>
      </c>
      <c r="K25" s="628">
        <f>+D25/$D$102</f>
        <v>8.1483495937723083E-2</v>
      </c>
      <c r="L25" s="628">
        <f>+E25/$E$102</f>
        <v>6.1103355903903867E-2</v>
      </c>
      <c r="M25" s="3">
        <f t="shared" si="2"/>
        <v>0</v>
      </c>
    </row>
    <row r="26" spans="1:13" ht="12.75" customHeight="1">
      <c r="A26" s="84" t="s">
        <v>58</v>
      </c>
      <c r="B26" s="65" t="s">
        <v>102</v>
      </c>
      <c r="C26" s="1135">
        <f>+'1.1.mell._ÖNK_Mérleg2019'!C26+'1.2.mell._HKÖH_Mérleg2019'!C26+'1.3.mell._HVÓBKI_Mérleg2019'!C26+'1.4.mell._HKK_Mérleg2019'!C26+'1.5._mell._MŐSZ_Mérleg2019'!C26+'1.6._mell._HVGYKCSSZ_Mérleg2019'!C26</f>
        <v>60</v>
      </c>
      <c r="D26" s="1144">
        <f>+'1.1.mell._ÖNK_Mérleg2019'!D26+'1.2.mell._HKÖH_Mérleg2019'!D26+'1.3.mell._HVÓBKI_Mérleg2019'!D26+'1.4.mell._HKK_Mérleg2019'!D26+'1.5._mell._MŐSZ_Mérleg2019'!D26+'1.6._mell._HVGYKCSSZ_Mérleg2019'!D26</f>
        <v>57</v>
      </c>
      <c r="E26" s="1144">
        <f>+'1.1.mell._ÖNK_Mérleg2019'!E26+'1.2.mell._HKÖH_Mérleg2019'!E26+'1.3.mell._HVÓBKI_Mérleg2019'!E26+'1.4.mell._HKK_Mérleg2019'!E26+'1.5._mell._MŐSZ_Mérleg2019'!E26+'1.6._mell._HVGYKCSSZ_Mérleg2019'!E26</f>
        <v>57</v>
      </c>
      <c r="F26" s="1560">
        <f t="shared" si="1"/>
        <v>1</v>
      </c>
      <c r="G26" s="34">
        <f>+'1.1.mell._ÖNK_Mérleg2019'!G26+'1.2.mell._HKÖH_Mérleg2019'!G26+'1.3.mell._HVÓBKI_Mérleg2019'!G26+'1.4.mell._HKK_Mérleg2019'!G26+'1.5._mell._MŐSZ_Mérleg2019'!G26+'1.6._mell._HVGYKCSSZ_Mérleg2019'!G26</f>
        <v>57</v>
      </c>
      <c r="H26" s="10">
        <f>+'1.1.mell._ÖNK_Mérleg2019'!H26+'1.2.mell._HKÖH_Mérleg2019'!H26+'1.3.mell._HVÓBKI_Mérleg2019'!H26+'1.4.mell._HKK_Mérleg2019'!H26+'1.5._mell._MŐSZ_Mérleg2019'!H26+'1.6._mell._HVGYKCSSZ_Mérleg2019'!H26</f>
        <v>0</v>
      </c>
      <c r="I26" s="35">
        <f>+'1.1.mell._ÖNK_Mérleg2019'!I26+'1.2.mell._HKÖH_Mérleg2019'!I26+'1.3.mell._HVÓBKI_Mérleg2019'!I26+'1.4.mell._HKK_Mérleg2019'!I26+'1.5._mell._MŐSZ_Mérleg2019'!I26+'1.6._mell._HVGYKCSSZ_Mérleg2019'!I26</f>
        <v>0</v>
      </c>
      <c r="M26" s="4">
        <f t="shared" si="2"/>
        <v>0</v>
      </c>
    </row>
    <row r="27" spans="1:13" ht="12.75" customHeight="1">
      <c r="A27" s="85" t="s">
        <v>59</v>
      </c>
      <c r="B27" s="67" t="s">
        <v>103</v>
      </c>
      <c r="C27" s="1137">
        <f>+'1.1.mell._ÖNK_Mérleg2019'!C27+'1.2.mell._HKÖH_Mérleg2019'!C27+'1.3.mell._HVÓBKI_Mérleg2019'!C27+'1.4.mell._HKK_Mérleg2019'!C27+'1.5._mell._MŐSZ_Mérleg2019'!C27+'1.6._mell._HVGYKCSSZ_Mérleg2019'!C27</f>
        <v>0</v>
      </c>
      <c r="D27" s="1146">
        <f>+'1.1.mell._ÖNK_Mérleg2019'!D27+'1.2.mell._HKÖH_Mérleg2019'!D27+'1.3.mell._HVÓBKI_Mérleg2019'!D27+'1.4.mell._HKK_Mérleg2019'!D27+'1.5._mell._MŐSZ_Mérleg2019'!D27+'1.6._mell._HVGYKCSSZ_Mérleg2019'!D27</f>
        <v>0</v>
      </c>
      <c r="E27" s="1146">
        <f>+'1.1.mell._ÖNK_Mérleg2019'!E27+'1.2.mell._HKÖH_Mérleg2019'!E27+'1.3.mell._HVÓBKI_Mérleg2019'!E27+'1.4.mell._HKK_Mérleg2019'!E27+'1.5._mell._MŐSZ_Mérleg2019'!E27+'1.6._mell._HVGYKCSSZ_Mérleg2019'!E27</f>
        <v>0</v>
      </c>
      <c r="F27" s="1562" t="str">
        <f t="shared" si="1"/>
        <v>-</v>
      </c>
      <c r="G27" s="20">
        <f>+'1.1.mell._ÖNK_Mérleg2019'!G27+'1.2.mell._HKÖH_Mérleg2019'!G27+'1.3.mell._HVÓBKI_Mérleg2019'!G27+'1.4.mell._HKK_Mérleg2019'!G27+'1.5._mell._MŐSZ_Mérleg2019'!G27+'1.6._mell._HVGYKCSSZ_Mérleg2019'!G27</f>
        <v>0</v>
      </c>
      <c r="H27" s="11">
        <f>+'1.1.mell._ÖNK_Mérleg2019'!H27+'1.2.mell._HKÖH_Mérleg2019'!H27+'1.3.mell._HVÓBKI_Mérleg2019'!H27+'1.4.mell._HKK_Mérleg2019'!H27+'1.5._mell._MŐSZ_Mérleg2019'!H27+'1.6._mell._HVGYKCSSZ_Mérleg2019'!H27</f>
        <v>0</v>
      </c>
      <c r="I27" s="16">
        <f>+'1.1.mell._ÖNK_Mérleg2019'!I27+'1.2.mell._HKÖH_Mérleg2019'!I27+'1.3.mell._HVÓBKI_Mérleg2019'!I27+'1.4.mell._HKK_Mérleg2019'!I27+'1.5._mell._MŐSZ_Mérleg2019'!I27+'1.6._mell._HVGYKCSSZ_Mérleg2019'!I27</f>
        <v>0</v>
      </c>
      <c r="M27" s="4">
        <f t="shared" si="2"/>
        <v>0</v>
      </c>
    </row>
    <row r="28" spans="1:13" ht="12.75" customHeight="1">
      <c r="A28" s="85" t="s">
        <v>60</v>
      </c>
      <c r="B28" s="67" t="s">
        <v>104</v>
      </c>
      <c r="C28" s="1137">
        <f>+'1.1.mell._ÖNK_Mérleg2019'!C28+'1.2.mell._HKÖH_Mérleg2019'!C28+'1.3.mell._HVÓBKI_Mérleg2019'!C28+'1.4.mell._HKK_Mérleg2019'!C28+'1.5._mell._MŐSZ_Mérleg2019'!C28+'1.6._mell._HVGYKCSSZ_Mérleg2019'!C28</f>
        <v>0</v>
      </c>
      <c r="D28" s="1146">
        <f>+'1.1.mell._ÖNK_Mérleg2019'!D28+'1.2.mell._HKÖH_Mérleg2019'!D28+'1.3.mell._HVÓBKI_Mérleg2019'!D28+'1.4.mell._HKK_Mérleg2019'!D28+'1.5._mell._MŐSZ_Mérleg2019'!D28+'1.6._mell._HVGYKCSSZ_Mérleg2019'!D28</f>
        <v>0</v>
      </c>
      <c r="E28" s="1146">
        <f>+'1.1.mell._ÖNK_Mérleg2019'!E28+'1.2.mell._HKÖH_Mérleg2019'!E28+'1.3.mell._HVÓBKI_Mérleg2019'!E28+'1.4.mell._HKK_Mérleg2019'!E28+'1.5._mell._MŐSZ_Mérleg2019'!E28+'1.6._mell._HVGYKCSSZ_Mérleg2019'!E28</f>
        <v>0</v>
      </c>
      <c r="F28" s="1562" t="str">
        <f t="shared" si="1"/>
        <v>-</v>
      </c>
      <c r="G28" s="20">
        <f>+'1.1.mell._ÖNK_Mérleg2019'!G28+'1.2.mell._HKÖH_Mérleg2019'!G28+'1.3.mell._HVÓBKI_Mérleg2019'!G28+'1.4.mell._HKK_Mérleg2019'!G28+'1.5._mell._MŐSZ_Mérleg2019'!G28+'1.6._mell._HVGYKCSSZ_Mérleg2019'!G28</f>
        <v>0</v>
      </c>
      <c r="H28" s="11">
        <f>+'1.1.mell._ÖNK_Mérleg2019'!H28+'1.2.mell._HKÖH_Mérleg2019'!H28+'1.3.mell._HVÓBKI_Mérleg2019'!H28+'1.4.mell._HKK_Mérleg2019'!H28+'1.5._mell._MŐSZ_Mérleg2019'!H28+'1.6._mell._HVGYKCSSZ_Mérleg2019'!H28</f>
        <v>0</v>
      </c>
      <c r="I28" s="16">
        <f>+'1.1.mell._ÖNK_Mérleg2019'!I28+'1.2.mell._HKÖH_Mérleg2019'!I28+'1.3.mell._HVÓBKI_Mérleg2019'!I28+'1.4.mell._HKK_Mérleg2019'!I28+'1.5._mell._MŐSZ_Mérleg2019'!I28+'1.6._mell._HVGYKCSSZ_Mérleg2019'!I28</f>
        <v>0</v>
      </c>
      <c r="M28" s="4">
        <f t="shared" si="2"/>
        <v>0</v>
      </c>
    </row>
    <row r="29" spans="1:13" ht="12.75" customHeight="1">
      <c r="A29" s="85" t="s">
        <v>180</v>
      </c>
      <c r="B29" s="67" t="s">
        <v>105</v>
      </c>
      <c r="C29" s="1137">
        <f>+'1.1.mell._ÖNK_Mérleg2019'!C29+'1.2.mell._HKÖH_Mérleg2019'!C29+'1.3.mell._HVÓBKI_Mérleg2019'!C29+'1.4.mell._HKK_Mérleg2019'!C29+'1.5._mell._MŐSZ_Mérleg2019'!C29+'1.6._mell._HVGYKCSSZ_Mérleg2019'!C29</f>
        <v>62000</v>
      </c>
      <c r="D29" s="1146">
        <f>+'1.1.mell._ÖNK_Mérleg2019'!D29+'1.2.mell._HKÖH_Mérleg2019'!D29+'1.3.mell._HVÓBKI_Mérleg2019'!D29+'1.4.mell._HKK_Mérleg2019'!D29+'1.5._mell._MŐSZ_Mérleg2019'!D29+'1.6._mell._HVGYKCSSZ_Mérleg2019'!D29</f>
        <v>66838</v>
      </c>
      <c r="E29" s="1146">
        <f>+'1.1.mell._ÖNK_Mérleg2019'!E29+'1.2.mell._HKÖH_Mérleg2019'!E29+'1.3.mell._HVÓBKI_Mérleg2019'!E29+'1.4.mell._HKK_Mérleg2019'!E29+'1.5._mell._MŐSZ_Mérleg2019'!E29+'1.6._mell._HVGYKCSSZ_Mérleg2019'!E29</f>
        <v>63970</v>
      </c>
      <c r="F29" s="1562">
        <f t="shared" si="1"/>
        <v>0.95709027798557711</v>
      </c>
      <c r="G29" s="20">
        <f>+'1.1.mell._ÖNK_Mérleg2019'!G29+'1.2.mell._HKÖH_Mérleg2019'!G29+'1.3.mell._HVÓBKI_Mérleg2019'!G29+'1.4.mell._HKK_Mérleg2019'!G29+'1.5._mell._MŐSZ_Mérleg2019'!G29+'1.6._mell._HVGYKCSSZ_Mérleg2019'!G29</f>
        <v>63970</v>
      </c>
      <c r="H29" s="11">
        <f>+'1.1.mell._ÖNK_Mérleg2019'!H29+'1.2.mell._HKÖH_Mérleg2019'!H29+'1.3.mell._HVÓBKI_Mérleg2019'!H29+'1.4.mell._HKK_Mérleg2019'!H29+'1.5._mell._MŐSZ_Mérleg2019'!H29+'1.6._mell._HVGYKCSSZ_Mérleg2019'!H29</f>
        <v>0</v>
      </c>
      <c r="I29" s="16">
        <f>+'1.1.mell._ÖNK_Mérleg2019'!I29+'1.2.mell._HKÖH_Mérleg2019'!I29+'1.3.mell._HVÓBKI_Mérleg2019'!I29+'1.4.mell._HKK_Mérleg2019'!I29+'1.5._mell._MŐSZ_Mérleg2019'!I29+'1.6._mell._HVGYKCSSZ_Mérleg2019'!I29</f>
        <v>0</v>
      </c>
      <c r="M29" s="4">
        <f t="shared" si="2"/>
        <v>0</v>
      </c>
    </row>
    <row r="30" spans="1:13" ht="12.75" customHeight="1">
      <c r="A30" s="78" t="s">
        <v>181</v>
      </c>
      <c r="B30" s="68" t="s">
        <v>106</v>
      </c>
      <c r="C30" s="1138">
        <f>+'1.1.mell._ÖNK_Mérleg2019'!C30+'1.2.mell._HKÖH_Mérleg2019'!C30+'1.3.mell._HVÓBKI_Mérleg2019'!C30+'1.4.mell._HKK_Mérleg2019'!C30+'1.5._mell._MŐSZ_Mérleg2019'!C30+'1.6._mell._HVGYKCSSZ_Mérleg2019'!C30</f>
        <v>307720</v>
      </c>
      <c r="D30" s="1147">
        <f>+'1.1.mell._ÖNK_Mérleg2019'!D30+'1.2.mell._HKÖH_Mérleg2019'!D30+'1.3.mell._HVÓBKI_Mérleg2019'!D30+'1.4.mell._HKK_Mérleg2019'!D30+'1.5._mell._MŐSZ_Mérleg2019'!D30+'1.6._mell._HVGYKCSSZ_Mérleg2019'!D30</f>
        <v>464025</v>
      </c>
      <c r="E30" s="1147">
        <f>+'1.1.mell._ÖNK_Mérleg2019'!E30+'1.2.mell._HKÖH_Mérleg2019'!E30+'1.3.mell._HVÓBKI_Mérleg2019'!E30+'1.4.mell._HKK_Mérleg2019'!E30+'1.5._mell._MŐSZ_Mérleg2019'!E30+'1.6._mell._HVGYKCSSZ_Mérleg2019'!E30</f>
        <v>326697</v>
      </c>
      <c r="F30" s="1561">
        <f t="shared" si="1"/>
        <v>0.7040504283174398</v>
      </c>
      <c r="G30" s="20">
        <f>+'1.1.mell._ÖNK_Mérleg2019'!G30+'1.2.mell._HKÖH_Mérleg2019'!G30+'1.3.mell._HVÓBKI_Mérleg2019'!G30+'1.4.mell._HKK_Mérleg2019'!G30+'1.5._mell._MŐSZ_Mérleg2019'!G30+'1.6._mell._HVGYKCSSZ_Mérleg2019'!G30</f>
        <v>326697</v>
      </c>
      <c r="H30" s="11">
        <f>+'1.1.mell._ÖNK_Mérleg2019'!H30+'1.2.mell._HKÖH_Mérleg2019'!H30+'1.3.mell._HVÓBKI_Mérleg2019'!H30+'1.4.mell._HKK_Mérleg2019'!H30+'1.5._mell._MŐSZ_Mérleg2019'!H30+'1.6._mell._HVGYKCSSZ_Mérleg2019'!H30</f>
        <v>0</v>
      </c>
      <c r="I30" s="16">
        <f>+'1.1.mell._ÖNK_Mérleg2019'!I30+'1.2.mell._HKÖH_Mérleg2019'!I30+'1.3.mell._HVÓBKI_Mérleg2019'!I30+'1.4.mell._HKK_Mérleg2019'!I30+'1.5._mell._MŐSZ_Mérleg2019'!I30+'1.6._mell._HVGYKCSSZ_Mérleg2019'!I30</f>
        <v>0</v>
      </c>
      <c r="M30" s="4">
        <f t="shared" si="2"/>
        <v>0</v>
      </c>
    </row>
    <row r="31" spans="1:13" ht="12.75" customHeight="1" thickBot="1">
      <c r="A31" s="78" t="s">
        <v>784</v>
      </c>
      <c r="B31" s="68" t="s">
        <v>786</v>
      </c>
      <c r="C31" s="1138">
        <f>+'1.1.mell._ÖNK_Mérleg2019'!C31+'1.2.mell._HKÖH_Mérleg2019'!C31+'1.3.mell._HVÓBKI_Mérleg2019'!C31+'1.4.mell._HKK_Mérleg2019'!C31+'1.5._mell._MŐSZ_Mérleg2019'!C31+'1.6._mell._HVGYKCSSZ_Mérleg2019'!C31</f>
        <v>14270</v>
      </c>
      <c r="D31" s="1147">
        <f>+'1.1.mell._ÖNK_Mérleg2019'!D31+'1.2.mell._HKÖH_Mérleg2019'!D31+'1.3.mell._HVÓBKI_Mérleg2019'!D31+'1.4.mell._HKK_Mérleg2019'!D31+'1.5._mell._MŐSZ_Mérleg2019'!D31+'1.6._mell._HVGYKCSSZ_Mérleg2019'!D31</f>
        <v>10802</v>
      </c>
      <c r="E31" s="1147">
        <f>+'1.1.mell._ÖNK_Mérleg2019'!E31+'1.2.mell._HKÖH_Mérleg2019'!E31+'1.3.mell._HVÓBKI_Mérleg2019'!E31+'1.4.mell._HKK_Mérleg2019'!E31+'1.5._mell._MŐSZ_Mérleg2019'!E31+'1.6._mell._HVGYKCSSZ_Mérleg2019'!E31</f>
        <v>3708</v>
      </c>
      <c r="F31" s="1561">
        <f t="shared" si="1"/>
        <v>0.34326976485835958</v>
      </c>
      <c r="G31" s="20">
        <f>+'1.1.mell._ÖNK_Mérleg2019'!G31+'1.2.mell._HKÖH_Mérleg2019'!G31+'1.3.mell._HVÓBKI_Mérleg2019'!G31+'1.4.mell._HKK_Mérleg2019'!G31+'1.5._mell._MŐSZ_Mérleg2019'!G31+'1.6._mell._HVGYKCSSZ_Mérleg2019'!G31</f>
        <v>3708</v>
      </c>
      <c r="H31" s="11">
        <f>+'1.1.mell._ÖNK_Mérleg2019'!H31+'1.2.mell._HKÖH_Mérleg2019'!H31+'1.3.mell._HVÓBKI_Mérleg2019'!H31+'1.4.mell._HKK_Mérleg2019'!H31+'1.5._mell._MŐSZ_Mérleg2019'!H31+'1.6._mell._HVGYKCSSZ_Mérleg2019'!H31</f>
        <v>0</v>
      </c>
      <c r="I31" s="16">
        <f>+'1.1.mell._ÖNK_Mérleg2019'!I31+'1.2.mell._HKÖH_Mérleg2019'!I31+'1.3.mell._HVÓBKI_Mérleg2019'!I31+'1.4.mell._HKK_Mérleg2019'!I31+'1.5._mell._MŐSZ_Mérleg2019'!I31+'1.6._mell._HVGYKCSSZ_Mérleg2019'!I31</f>
        <v>0</v>
      </c>
      <c r="M31" s="4">
        <f t="shared" si="2"/>
        <v>0</v>
      </c>
    </row>
    <row r="32" spans="1:13" s="3" customFormat="1" ht="12.75" customHeight="1" thickBot="1">
      <c r="A32" s="83" t="s">
        <v>3</v>
      </c>
      <c r="B32" s="64" t="s">
        <v>975</v>
      </c>
      <c r="C32" s="1134">
        <f t="shared" ref="C32:E32" si="6">+C33+C34+C35+C36+C37+C38+C39+C40+C41+C42+C43</f>
        <v>132543</v>
      </c>
      <c r="D32" s="1143">
        <f t="shared" si="6"/>
        <v>161795</v>
      </c>
      <c r="E32" s="1143">
        <f t="shared" si="6"/>
        <v>129585</v>
      </c>
      <c r="F32" s="1558">
        <f t="shared" si="1"/>
        <v>0.80092091844618185</v>
      </c>
      <c r="G32" s="27">
        <f>+G33+G34+G35+G36+G37+G38+G39+G40+G41+G42+G43</f>
        <v>103363</v>
      </c>
      <c r="H32" s="28">
        <f>+H33+H34+H35+H36+H37+H38+H39+H40+H41+H42+H43</f>
        <v>26222</v>
      </c>
      <c r="I32" s="29">
        <f>+I33+I34+I35+I36+I37+I38+I39+I40+I41+I42+I43</f>
        <v>0</v>
      </c>
      <c r="J32" s="628">
        <f>+C32/$C$102</f>
        <v>2.8668985830002863E-2</v>
      </c>
      <c r="K32" s="628">
        <f>+D32/$D$102</f>
        <v>2.4336508809396529E-2</v>
      </c>
      <c r="L32" s="628">
        <f>+E32/$E$102</f>
        <v>2.0074634854188766E-2</v>
      </c>
      <c r="M32" s="3">
        <f t="shared" si="2"/>
        <v>0</v>
      </c>
    </row>
    <row r="33" spans="1:13" ht="12.75" customHeight="1">
      <c r="A33" s="84" t="s">
        <v>61</v>
      </c>
      <c r="B33" s="65" t="s">
        <v>107</v>
      </c>
      <c r="C33" s="1135">
        <f>+'1.1.mell._ÖNK_Mérleg2019'!C33+'1.2.mell._HKÖH_Mérleg2019'!C33+'1.3.mell._HVÓBKI_Mérleg2019'!C33+'1.4.mell._HKK_Mérleg2019'!C33+'1.5._mell._MŐSZ_Mérleg2019'!C33+'1.6._mell._HVGYKCSSZ_Mérleg2019'!C33</f>
        <v>0</v>
      </c>
      <c r="D33" s="1144">
        <f>+'1.1.mell._ÖNK_Mérleg2019'!D33+'1.2.mell._HKÖH_Mérleg2019'!D33+'1.3.mell._HVÓBKI_Mérleg2019'!D33+'1.4.mell._HKK_Mérleg2019'!D33+'1.5._mell._MŐSZ_Mérleg2019'!D33+'1.6._mell._HVGYKCSSZ_Mérleg2019'!D33</f>
        <v>9530</v>
      </c>
      <c r="E33" s="1144">
        <f>+'1.1.mell._ÖNK_Mérleg2019'!E33+'1.2.mell._HKÖH_Mérleg2019'!E33+'1.3.mell._HVÓBKI_Mérleg2019'!E33+'1.4.mell._HKK_Mérleg2019'!E33+'1.5._mell._MŐSZ_Mérleg2019'!E33+'1.6._mell._HVGYKCSSZ_Mérleg2019'!E33</f>
        <v>9464</v>
      </c>
      <c r="F33" s="1560">
        <f t="shared" si="1"/>
        <v>0.99307450157397692</v>
      </c>
      <c r="G33" s="34">
        <f>+'1.1.mell._ÖNK_Mérleg2019'!G33+'1.2.mell._HKÖH_Mérleg2019'!G33+'1.3.mell._HVÓBKI_Mérleg2019'!G33+'1.4.mell._HKK_Mérleg2019'!G33+'1.5._mell._MŐSZ_Mérleg2019'!G33+'1.6._mell._HVGYKCSSZ_Mérleg2019'!G33</f>
        <v>9464</v>
      </c>
      <c r="H33" s="10">
        <f>+'1.1.mell._ÖNK_Mérleg2019'!H33+'1.2.mell._HKÖH_Mérleg2019'!H33+'1.3.mell._HVÓBKI_Mérleg2019'!H33+'1.4.mell._HKK_Mérleg2019'!H33+'1.5._mell._MŐSZ_Mérleg2019'!H33+'1.6._mell._HVGYKCSSZ_Mérleg2019'!H33</f>
        <v>0</v>
      </c>
      <c r="I33" s="35">
        <f>+'1.1.mell._ÖNK_Mérleg2019'!I33+'1.2.mell._HKÖH_Mérleg2019'!I33+'1.3.mell._HVÓBKI_Mérleg2019'!I33+'1.4.mell._HKK_Mérleg2019'!I33+'1.5._mell._MŐSZ_Mérleg2019'!I33+'1.6._mell._HVGYKCSSZ_Mérleg2019'!I33</f>
        <v>0</v>
      </c>
      <c r="M33" s="4">
        <f t="shared" si="2"/>
        <v>0</v>
      </c>
    </row>
    <row r="34" spans="1:13" ht="12.75" customHeight="1">
      <c r="A34" s="85" t="s">
        <v>62</v>
      </c>
      <c r="B34" s="67" t="s">
        <v>108</v>
      </c>
      <c r="C34" s="1137">
        <f>+'1.1.mell._ÖNK_Mérleg2019'!C34+'1.2.mell._HKÖH_Mérleg2019'!C34+'1.3.mell._HVÓBKI_Mérleg2019'!C34+'1.4.mell._HKK_Mérleg2019'!C34+'1.5._mell._MŐSZ_Mérleg2019'!C34+'1.6._mell._HVGYKCSSZ_Mérleg2019'!C34</f>
        <v>57881</v>
      </c>
      <c r="D34" s="1146">
        <f>+'1.1.mell._ÖNK_Mérleg2019'!D34+'1.2.mell._HKÖH_Mérleg2019'!D34+'1.3.mell._HVÓBKI_Mérleg2019'!D34+'1.4.mell._HKK_Mérleg2019'!D34+'1.5._mell._MŐSZ_Mérleg2019'!D34+'1.6._mell._HVGYKCSSZ_Mérleg2019'!D34</f>
        <v>62949</v>
      </c>
      <c r="E34" s="1146">
        <f>+'1.1.mell._ÖNK_Mérleg2019'!E34+'1.2.mell._HKÖH_Mérleg2019'!E34+'1.3.mell._HVÓBKI_Mérleg2019'!E34+'1.4.mell._HKK_Mérleg2019'!E34+'1.5._mell._MŐSZ_Mérleg2019'!E34+'1.6._mell._HVGYKCSSZ_Mérleg2019'!E34</f>
        <v>48453</v>
      </c>
      <c r="F34" s="1562">
        <f t="shared" si="1"/>
        <v>0.76971834342086454</v>
      </c>
      <c r="G34" s="20">
        <f>+'1.1.mell._ÖNK_Mérleg2019'!G34+'1.2.mell._HKÖH_Mérleg2019'!G34+'1.3.mell._HVÓBKI_Mérleg2019'!G34+'1.4.mell._HKK_Mérleg2019'!G34+'1.5._mell._MŐSZ_Mérleg2019'!G34+'1.6._mell._HVGYKCSSZ_Mérleg2019'!G34</f>
        <v>27799</v>
      </c>
      <c r="H34" s="11">
        <f>+'1.1.mell._ÖNK_Mérleg2019'!H34+'1.2.mell._HKÖH_Mérleg2019'!H34+'1.3.mell._HVÓBKI_Mérleg2019'!H34+'1.4.mell._HKK_Mérleg2019'!H34+'1.5._mell._MŐSZ_Mérleg2019'!H34+'1.6._mell._HVGYKCSSZ_Mérleg2019'!H34</f>
        <v>20654</v>
      </c>
      <c r="I34" s="16">
        <f>+'1.1.mell._ÖNK_Mérleg2019'!I34+'1.2.mell._HKÖH_Mérleg2019'!I34+'1.3.mell._HVÓBKI_Mérleg2019'!I34+'1.4.mell._HKK_Mérleg2019'!I34+'1.5._mell._MŐSZ_Mérleg2019'!I34+'1.6._mell._HVGYKCSSZ_Mérleg2019'!I34</f>
        <v>0</v>
      </c>
      <c r="M34" s="4">
        <f t="shared" si="2"/>
        <v>0</v>
      </c>
    </row>
    <row r="35" spans="1:13" ht="12.75" customHeight="1">
      <c r="A35" s="85" t="s">
        <v>63</v>
      </c>
      <c r="B35" s="67" t="s">
        <v>109</v>
      </c>
      <c r="C35" s="1137">
        <f>+'1.1.mell._ÖNK_Mérleg2019'!C35+'1.2.mell._HKÖH_Mérleg2019'!C35+'1.3.mell._HVÓBKI_Mérleg2019'!C35+'1.4.mell._HKK_Mérleg2019'!C35+'1.5._mell._MŐSZ_Mérleg2019'!C35+'1.6._mell._HVGYKCSSZ_Mérleg2019'!C35</f>
        <v>8830</v>
      </c>
      <c r="D35" s="1146">
        <f>+'1.1.mell._ÖNK_Mérleg2019'!D35+'1.2.mell._HKÖH_Mérleg2019'!D35+'1.3.mell._HVÓBKI_Mérleg2019'!D35+'1.4.mell._HKK_Mérleg2019'!D35+'1.5._mell._MŐSZ_Mérleg2019'!D35+'1.6._mell._HVGYKCSSZ_Mérleg2019'!D35</f>
        <v>21928</v>
      </c>
      <c r="E35" s="1146">
        <f>+'1.1.mell._ÖNK_Mérleg2019'!E35+'1.2.mell._HKÖH_Mérleg2019'!E35+'1.3.mell._HVÓBKI_Mérleg2019'!E35+'1.4.mell._HKK_Mérleg2019'!E35+'1.5._mell._MŐSZ_Mérleg2019'!E35+'1.6._mell._HVGYKCSSZ_Mérleg2019'!E35</f>
        <v>19649</v>
      </c>
      <c r="F35" s="1562">
        <f t="shared" si="1"/>
        <v>0.89606895293688438</v>
      </c>
      <c r="G35" s="20">
        <f>+'1.1.mell._ÖNK_Mérleg2019'!G35+'1.2.mell._HKÖH_Mérleg2019'!G35+'1.3.mell._HVÓBKI_Mérleg2019'!G35+'1.4.mell._HKK_Mérleg2019'!G35+'1.5._mell._MŐSZ_Mérleg2019'!G35+'1.6._mell._HVGYKCSSZ_Mérleg2019'!G35</f>
        <v>19649</v>
      </c>
      <c r="H35" s="11">
        <f>+'1.1.mell._ÖNK_Mérleg2019'!H35+'1.2.mell._HKÖH_Mérleg2019'!H35+'1.3.mell._HVÓBKI_Mérleg2019'!H35+'1.4.mell._HKK_Mérleg2019'!H35+'1.5._mell._MŐSZ_Mérleg2019'!H35+'1.6._mell._HVGYKCSSZ_Mérleg2019'!H35</f>
        <v>0</v>
      </c>
      <c r="I35" s="16">
        <f>+'1.1.mell._ÖNK_Mérleg2019'!I35+'1.2.mell._HKÖH_Mérleg2019'!I35+'1.3.mell._HVÓBKI_Mérleg2019'!I35+'1.4.mell._HKK_Mérleg2019'!I35+'1.5._mell._MŐSZ_Mérleg2019'!I35+'1.6._mell._HVGYKCSSZ_Mérleg2019'!I35</f>
        <v>0</v>
      </c>
      <c r="M35" s="4">
        <f t="shared" si="2"/>
        <v>0</v>
      </c>
    </row>
    <row r="36" spans="1:13" ht="12.75" customHeight="1">
      <c r="A36" s="85" t="s">
        <v>64</v>
      </c>
      <c r="B36" s="67" t="s">
        <v>110</v>
      </c>
      <c r="C36" s="1137">
        <f>+'1.1.mell._ÖNK_Mérleg2019'!C36+'1.2.mell._HKÖH_Mérleg2019'!C36+'1.3.mell._HVÓBKI_Mérleg2019'!C36+'1.4.mell._HKK_Mérleg2019'!C36+'1.5._mell._MŐSZ_Mérleg2019'!C36+'1.6._mell._HVGYKCSSZ_Mérleg2019'!C36</f>
        <v>236</v>
      </c>
      <c r="D36" s="1146">
        <f>+'1.1.mell._ÖNK_Mérleg2019'!D36+'1.2.mell._HKÖH_Mérleg2019'!D36+'1.3.mell._HVÓBKI_Mérleg2019'!D36+'1.4.mell._HKK_Mérleg2019'!D36+'1.5._mell._MŐSZ_Mérleg2019'!D36+'1.6._mell._HVGYKCSSZ_Mérleg2019'!D36</f>
        <v>473</v>
      </c>
      <c r="E36" s="1146">
        <f>+'1.1.mell._ÖNK_Mérleg2019'!E36+'1.2.mell._HKÖH_Mérleg2019'!E36+'1.3.mell._HVÓBKI_Mérleg2019'!E36+'1.4.mell._HKK_Mérleg2019'!E36+'1.5._mell._MŐSZ_Mérleg2019'!E36+'1.6._mell._HVGYKCSSZ_Mérleg2019'!E36</f>
        <v>473</v>
      </c>
      <c r="F36" s="1562">
        <f t="shared" si="1"/>
        <v>1</v>
      </c>
      <c r="G36" s="20">
        <f>+'1.1.mell._ÖNK_Mérleg2019'!G36+'1.2.mell._HKÖH_Mérleg2019'!G36+'1.3.mell._HVÓBKI_Mérleg2019'!G36+'1.4.mell._HKK_Mérleg2019'!G36+'1.5._mell._MŐSZ_Mérleg2019'!G36+'1.6._mell._HVGYKCSSZ_Mérleg2019'!G36</f>
        <v>473</v>
      </c>
      <c r="H36" s="11">
        <f>+'1.1.mell._ÖNK_Mérleg2019'!H36+'1.2.mell._HKÖH_Mérleg2019'!H36+'1.3.mell._HVÓBKI_Mérleg2019'!H36+'1.4.mell._HKK_Mérleg2019'!H36+'1.5._mell._MŐSZ_Mérleg2019'!H36+'1.6._mell._HVGYKCSSZ_Mérleg2019'!H36</f>
        <v>0</v>
      </c>
      <c r="I36" s="16">
        <f>+'1.1.mell._ÖNK_Mérleg2019'!I36+'1.2.mell._HKÖH_Mérleg2019'!I36+'1.3.mell._HVÓBKI_Mérleg2019'!I36+'1.4.mell._HKK_Mérleg2019'!I36+'1.5._mell._MŐSZ_Mérleg2019'!I36+'1.6._mell._HVGYKCSSZ_Mérleg2019'!I36</f>
        <v>0</v>
      </c>
      <c r="M36" s="4">
        <f t="shared" si="2"/>
        <v>0</v>
      </c>
    </row>
    <row r="37" spans="1:13" ht="12.75" customHeight="1">
      <c r="A37" s="85" t="s">
        <v>65</v>
      </c>
      <c r="B37" s="67" t="s">
        <v>111</v>
      </c>
      <c r="C37" s="1137">
        <f>+'1.1.mell._ÖNK_Mérleg2019'!C37+'1.2.mell._HKÖH_Mérleg2019'!C37+'1.3.mell._HVÓBKI_Mérleg2019'!C37+'1.4.mell._HKK_Mérleg2019'!C37+'1.5._mell._MŐSZ_Mérleg2019'!C37+'1.6._mell._HVGYKCSSZ_Mérleg2019'!C37</f>
        <v>8734</v>
      </c>
      <c r="D37" s="1146">
        <f>+'1.1.mell._ÖNK_Mérleg2019'!D37+'1.2.mell._HKÖH_Mérleg2019'!D37+'1.3.mell._HVÓBKI_Mérleg2019'!D37+'1.4.mell._HKK_Mérleg2019'!D37+'1.5._mell._MŐSZ_Mérleg2019'!D37+'1.6._mell._HVGYKCSSZ_Mérleg2019'!D37</f>
        <v>8469</v>
      </c>
      <c r="E37" s="1146">
        <f>+'1.1.mell._ÖNK_Mérleg2019'!E37+'1.2.mell._HKÖH_Mérleg2019'!E37+'1.3.mell._HVÓBKI_Mérleg2019'!E37+'1.4.mell._HKK_Mérleg2019'!E37+'1.5._mell._MŐSZ_Mérleg2019'!E37+'1.6._mell._HVGYKCSSZ_Mérleg2019'!E37</f>
        <v>8469</v>
      </c>
      <c r="F37" s="1562">
        <f t="shared" si="1"/>
        <v>1</v>
      </c>
      <c r="G37" s="20">
        <f>+'1.1.mell._ÖNK_Mérleg2019'!G37+'1.2.mell._HKÖH_Mérleg2019'!G37+'1.3.mell._HVÓBKI_Mérleg2019'!G37+'1.4.mell._HKK_Mérleg2019'!G37+'1.5._mell._MŐSZ_Mérleg2019'!G37+'1.6._mell._HVGYKCSSZ_Mérleg2019'!G37</f>
        <v>8469</v>
      </c>
      <c r="H37" s="11">
        <f>+'1.1.mell._ÖNK_Mérleg2019'!H37+'1.2.mell._HKÖH_Mérleg2019'!H37+'1.3.mell._HVÓBKI_Mérleg2019'!H37+'1.4.mell._HKK_Mérleg2019'!H37+'1.5._mell._MŐSZ_Mérleg2019'!H37+'1.6._mell._HVGYKCSSZ_Mérleg2019'!H37</f>
        <v>0</v>
      </c>
      <c r="I37" s="16">
        <f>+'1.1.mell._ÖNK_Mérleg2019'!I37+'1.2.mell._HKÖH_Mérleg2019'!I37+'1.3.mell._HVÓBKI_Mérleg2019'!I37+'1.4.mell._HKK_Mérleg2019'!I37+'1.5._mell._MŐSZ_Mérleg2019'!I37+'1.6._mell._HVGYKCSSZ_Mérleg2019'!I37</f>
        <v>0</v>
      </c>
      <c r="M37" s="4">
        <f t="shared" si="2"/>
        <v>0</v>
      </c>
    </row>
    <row r="38" spans="1:13" ht="12.75" customHeight="1">
      <c r="A38" s="85" t="s">
        <v>222</v>
      </c>
      <c r="B38" s="67" t="s">
        <v>112</v>
      </c>
      <c r="C38" s="1137">
        <f>+'1.1.mell._ÖNK_Mérleg2019'!C38+'1.2.mell._HKÖH_Mérleg2019'!C38+'1.3.mell._HVÓBKI_Mérleg2019'!C38+'1.4.mell._HKK_Mérleg2019'!C38+'1.5._mell._MŐSZ_Mérleg2019'!C38+'1.6._mell._HVGYKCSSZ_Mérleg2019'!C38</f>
        <v>20016</v>
      </c>
      <c r="D38" s="1146">
        <f>+'1.1.mell._ÖNK_Mérleg2019'!D38+'1.2.mell._HKÖH_Mérleg2019'!D38+'1.3.mell._HVÓBKI_Mérleg2019'!D38+'1.4.mell._HKK_Mérleg2019'!D38+'1.5._mell._MŐSZ_Mérleg2019'!D38+'1.6._mell._HVGYKCSSZ_Mérleg2019'!D38</f>
        <v>26188</v>
      </c>
      <c r="E38" s="1146">
        <f>+'1.1.mell._ÖNK_Mérleg2019'!E38+'1.2.mell._HKÖH_Mérleg2019'!E38+'1.3.mell._HVÓBKI_Mérleg2019'!E38+'1.4.mell._HKK_Mérleg2019'!E38+'1.5._mell._MŐSZ_Mérleg2019'!E38+'1.6._mell._HVGYKCSSZ_Mérleg2019'!E38</f>
        <v>21284</v>
      </c>
      <c r="F38" s="1562">
        <f t="shared" si="1"/>
        <v>0.81273865892775321</v>
      </c>
      <c r="G38" s="20">
        <f>+'1.1.mell._ÖNK_Mérleg2019'!G38+'1.2.mell._HKÖH_Mérleg2019'!G38+'1.3.mell._HVÓBKI_Mérleg2019'!G38+'1.4.mell._HKK_Mérleg2019'!G38+'1.5._mell._MŐSZ_Mérleg2019'!G38+'1.6._mell._HVGYKCSSZ_Mérleg2019'!G38</f>
        <v>15716</v>
      </c>
      <c r="H38" s="11">
        <f>+'1.1.mell._ÖNK_Mérleg2019'!H38+'1.2.mell._HKÖH_Mérleg2019'!H38+'1.3.mell._HVÓBKI_Mérleg2019'!H38+'1.4.mell._HKK_Mérleg2019'!H38+'1.5._mell._MŐSZ_Mérleg2019'!H38+'1.6._mell._HVGYKCSSZ_Mérleg2019'!H38</f>
        <v>5568</v>
      </c>
      <c r="I38" s="16">
        <f>+'1.1.mell._ÖNK_Mérleg2019'!I38+'1.2.mell._HKÖH_Mérleg2019'!I38+'1.3.mell._HVÓBKI_Mérleg2019'!I38+'1.4.mell._HKK_Mérleg2019'!I38+'1.5._mell._MŐSZ_Mérleg2019'!I38+'1.6._mell._HVGYKCSSZ_Mérleg2019'!I38</f>
        <v>0</v>
      </c>
      <c r="M38" s="4">
        <f t="shared" si="2"/>
        <v>0</v>
      </c>
    </row>
    <row r="39" spans="1:13" ht="12.75" customHeight="1">
      <c r="A39" s="85" t="s">
        <v>223</v>
      </c>
      <c r="B39" s="67" t="s">
        <v>113</v>
      </c>
      <c r="C39" s="1137">
        <f>+'1.1.mell._ÖNK_Mérleg2019'!C39+'1.2.mell._HKÖH_Mérleg2019'!C39+'1.3.mell._HVÓBKI_Mérleg2019'!C39+'1.4.mell._HKK_Mérleg2019'!C39+'1.5._mell._MŐSZ_Mérleg2019'!C39+'1.6._mell._HVGYKCSSZ_Mérleg2019'!C39</f>
        <v>17899</v>
      </c>
      <c r="D39" s="1146">
        <f>+'1.1.mell._ÖNK_Mérleg2019'!D39+'1.2.mell._HKÖH_Mérleg2019'!D39+'1.3.mell._HVÓBKI_Mérleg2019'!D39+'1.4.mell._HKK_Mérleg2019'!D39+'1.5._mell._MŐSZ_Mérleg2019'!D39+'1.6._mell._HVGYKCSSZ_Mérleg2019'!D39</f>
        <v>20233</v>
      </c>
      <c r="E39" s="1146">
        <f>+'1.1.mell._ÖNK_Mérleg2019'!E39+'1.2.mell._HKÖH_Mérleg2019'!E39+'1.3.mell._HVÓBKI_Mérleg2019'!E39+'1.4.mell._HKK_Mérleg2019'!E39+'1.5._mell._MŐSZ_Mérleg2019'!E39+'1.6._mell._HVGYKCSSZ_Mérleg2019'!E39</f>
        <v>19220</v>
      </c>
      <c r="F39" s="1562">
        <f t="shared" si="1"/>
        <v>0.94993327731923094</v>
      </c>
      <c r="G39" s="20">
        <f>+'1.1.mell._ÖNK_Mérleg2019'!G39+'1.2.mell._HKÖH_Mérleg2019'!G39+'1.3.mell._HVÓBKI_Mérleg2019'!G39+'1.4.mell._HKK_Mérleg2019'!G39+'1.5._mell._MŐSZ_Mérleg2019'!G39+'1.6._mell._HVGYKCSSZ_Mérleg2019'!G39</f>
        <v>19220</v>
      </c>
      <c r="H39" s="11">
        <f>+'1.1.mell._ÖNK_Mérleg2019'!H39+'1.2.mell._HKÖH_Mérleg2019'!H39+'1.3.mell._HVÓBKI_Mérleg2019'!H39+'1.4.mell._HKK_Mérleg2019'!H39+'1.5._mell._MŐSZ_Mérleg2019'!H39+'1.6._mell._HVGYKCSSZ_Mérleg2019'!H39</f>
        <v>0</v>
      </c>
      <c r="I39" s="16">
        <f>+'1.1.mell._ÖNK_Mérleg2019'!I39+'1.2.mell._HKÖH_Mérleg2019'!I39+'1.3.mell._HVÓBKI_Mérleg2019'!I39+'1.4.mell._HKK_Mérleg2019'!I39+'1.5._mell._MŐSZ_Mérleg2019'!I39+'1.6._mell._HVGYKCSSZ_Mérleg2019'!I39</f>
        <v>0</v>
      </c>
      <c r="M39" s="4">
        <f t="shared" si="2"/>
        <v>0</v>
      </c>
    </row>
    <row r="40" spans="1:13" ht="12.75" customHeight="1">
      <c r="A40" s="85" t="s">
        <v>224</v>
      </c>
      <c r="B40" s="67" t="s">
        <v>985</v>
      </c>
      <c r="C40" s="1137">
        <f>+'1.1.mell._ÖNK_Mérleg2019'!C40+'1.2.mell._HKÖH_Mérleg2019'!C40+'1.3.mell._HVÓBKI_Mérleg2019'!C40+'1.4.mell._HKK_Mérleg2019'!C40+'1.5._mell._MŐSZ_Mérleg2019'!C40+'1.6._mell._HVGYKCSSZ_Mérleg2019'!C40</f>
        <v>0</v>
      </c>
      <c r="D40" s="1146">
        <f>+'1.1.mell._ÖNK_Mérleg2019'!D40+'1.2.mell._HKÖH_Mérleg2019'!D40+'1.3.mell._HVÓBKI_Mérleg2019'!D40+'1.4.mell._HKK_Mérleg2019'!D40+'1.5._mell._MŐSZ_Mérleg2019'!D40+'1.6._mell._HVGYKCSSZ_Mérleg2019'!D40</f>
        <v>0</v>
      </c>
      <c r="E40" s="1146">
        <f>+'1.1.mell._ÖNK_Mérleg2019'!E40+'1.2.mell._HKÖH_Mérleg2019'!E40+'1.3.mell._HVÓBKI_Mérleg2019'!E40+'1.4.mell._HKK_Mérleg2019'!E40+'1.5._mell._MŐSZ_Mérleg2019'!E40+'1.6._mell._HVGYKCSSZ_Mérleg2019'!E40</f>
        <v>0</v>
      </c>
      <c r="F40" s="1562" t="str">
        <f t="shared" si="1"/>
        <v>-</v>
      </c>
      <c r="G40" s="20">
        <f>+'1.1.mell._ÖNK_Mérleg2019'!G40+'1.2.mell._HKÖH_Mérleg2019'!G40+'1.3.mell._HVÓBKI_Mérleg2019'!G40+'1.4.mell._HKK_Mérleg2019'!G40+'1.5._mell._MŐSZ_Mérleg2019'!G40+'1.6._mell._HVGYKCSSZ_Mérleg2019'!G40</f>
        <v>0</v>
      </c>
      <c r="H40" s="11">
        <f>+'1.1.mell._ÖNK_Mérleg2019'!H40+'1.2.mell._HKÖH_Mérleg2019'!H40+'1.3.mell._HVÓBKI_Mérleg2019'!H40+'1.4.mell._HKK_Mérleg2019'!H40+'1.5._mell._MŐSZ_Mérleg2019'!H40+'1.6._mell._HVGYKCSSZ_Mérleg2019'!H40</f>
        <v>0</v>
      </c>
      <c r="I40" s="16">
        <f>+'1.1.mell._ÖNK_Mérleg2019'!I40+'1.2.mell._HKÖH_Mérleg2019'!I40+'1.3.mell._HVÓBKI_Mérleg2019'!I40+'1.4.mell._HKK_Mérleg2019'!I40+'1.5._mell._MŐSZ_Mérleg2019'!I40+'1.6._mell._HVGYKCSSZ_Mérleg2019'!I40</f>
        <v>0</v>
      </c>
      <c r="M40" s="4">
        <f t="shared" si="2"/>
        <v>0</v>
      </c>
    </row>
    <row r="41" spans="1:13" ht="12.75" customHeight="1">
      <c r="A41" s="85" t="s">
        <v>225</v>
      </c>
      <c r="B41" s="67" t="s">
        <v>114</v>
      </c>
      <c r="C41" s="1137">
        <f>+'1.1.mell._ÖNK_Mérleg2019'!C41+'1.2.mell._HKÖH_Mérleg2019'!C41+'1.3.mell._HVÓBKI_Mérleg2019'!C41+'1.4.mell._HKK_Mérleg2019'!C41+'1.5._mell._MŐSZ_Mérleg2019'!C41+'1.6._mell._HVGYKCSSZ_Mérleg2019'!C41</f>
        <v>0</v>
      </c>
      <c r="D41" s="1146">
        <f>+'1.1.mell._ÖNK_Mérleg2019'!D41+'1.2.mell._HKÖH_Mérleg2019'!D41+'1.3.mell._HVÓBKI_Mérleg2019'!D41+'1.4.mell._HKK_Mérleg2019'!D41+'1.5._mell._MŐSZ_Mérleg2019'!D41+'1.6._mell._HVGYKCSSZ_Mérleg2019'!D41</f>
        <v>0</v>
      </c>
      <c r="E41" s="1146">
        <f>+'1.1.mell._ÖNK_Mérleg2019'!E41+'1.2.mell._HKÖH_Mérleg2019'!E41+'1.3.mell._HVÓBKI_Mérleg2019'!E41+'1.4.mell._HKK_Mérleg2019'!E41+'1.5._mell._MŐSZ_Mérleg2019'!E41+'1.6._mell._HVGYKCSSZ_Mérleg2019'!E41</f>
        <v>0</v>
      </c>
      <c r="F41" s="1562" t="str">
        <f t="shared" si="1"/>
        <v>-</v>
      </c>
      <c r="G41" s="20">
        <f>+'1.1.mell._ÖNK_Mérleg2019'!G41+'1.2.mell._HKÖH_Mérleg2019'!G41+'1.3.mell._HVÓBKI_Mérleg2019'!G41+'1.4.mell._HKK_Mérleg2019'!G41+'1.5._mell._MŐSZ_Mérleg2019'!G41+'1.6._mell._HVGYKCSSZ_Mérleg2019'!G41</f>
        <v>0</v>
      </c>
      <c r="H41" s="11">
        <f>+'1.1.mell._ÖNK_Mérleg2019'!H41+'1.2.mell._HKÖH_Mérleg2019'!H41+'1.3.mell._HVÓBKI_Mérleg2019'!H41+'1.4.mell._HKK_Mérleg2019'!H41+'1.5._mell._MŐSZ_Mérleg2019'!H41+'1.6._mell._HVGYKCSSZ_Mérleg2019'!H41</f>
        <v>0</v>
      </c>
      <c r="I41" s="16">
        <f>+'1.1.mell._ÖNK_Mérleg2019'!I41+'1.2.mell._HKÖH_Mérleg2019'!I41+'1.3.mell._HVÓBKI_Mérleg2019'!I41+'1.4.mell._HKK_Mérleg2019'!I41+'1.5._mell._MŐSZ_Mérleg2019'!I41+'1.6._mell._HVGYKCSSZ_Mérleg2019'!I41</f>
        <v>0</v>
      </c>
      <c r="M41" s="4">
        <f t="shared" si="2"/>
        <v>0</v>
      </c>
    </row>
    <row r="42" spans="1:13" ht="12.75" customHeight="1">
      <c r="A42" s="78" t="s">
        <v>226</v>
      </c>
      <c r="B42" s="68" t="s">
        <v>902</v>
      </c>
      <c r="C42" s="1137">
        <f>+'1.1.mell._ÖNK_Mérleg2019'!C42+'1.2.mell._HKÖH_Mérleg2019'!C42+'1.3.mell._HVÓBKI_Mérleg2019'!C42+'1.4.mell._HKK_Mérleg2019'!C42+'1.5._mell._MŐSZ_Mérleg2019'!C42+'1.6._mell._HVGYKCSSZ_Mérleg2019'!C42</f>
        <v>0</v>
      </c>
      <c r="D42" s="1146">
        <f>+'1.1.mell._ÖNK_Mérleg2019'!D42+'1.2.mell._HKÖH_Mérleg2019'!D42+'1.3.mell._HVÓBKI_Mérleg2019'!D42+'1.4.mell._HKK_Mérleg2019'!D42+'1.5._mell._MŐSZ_Mérleg2019'!D42+'1.6._mell._HVGYKCSSZ_Mérleg2019'!D42</f>
        <v>482</v>
      </c>
      <c r="E42" s="1146">
        <f>+'1.1.mell._ÖNK_Mérleg2019'!E42+'1.2.mell._HKÖH_Mérleg2019'!E42+'1.3.mell._HVÓBKI_Mérleg2019'!E42+'1.4.mell._HKK_Mérleg2019'!E42+'1.5._mell._MŐSZ_Mérleg2019'!E42+'1.6._mell._HVGYKCSSZ_Mérleg2019'!E42</f>
        <v>482</v>
      </c>
      <c r="F42" s="1562">
        <f t="shared" si="1"/>
        <v>1</v>
      </c>
      <c r="G42" s="20">
        <f>+'1.1.mell._ÖNK_Mérleg2019'!G42+'1.2.mell._HKÖH_Mérleg2019'!G42+'1.3.mell._HVÓBKI_Mérleg2019'!G42+'1.4.mell._HKK_Mérleg2019'!G42+'1.5._mell._MŐSZ_Mérleg2019'!G42+'1.6._mell._HVGYKCSSZ_Mérleg2019'!G42</f>
        <v>482</v>
      </c>
      <c r="H42" s="11">
        <f>+'1.1.mell._ÖNK_Mérleg2019'!H42+'1.2.mell._HKÖH_Mérleg2019'!H42+'1.3.mell._HVÓBKI_Mérleg2019'!H42+'1.4.mell._HKK_Mérleg2019'!H42+'1.5._mell._MŐSZ_Mérleg2019'!H42+'1.6._mell._HVGYKCSSZ_Mérleg2019'!H42</f>
        <v>0</v>
      </c>
      <c r="I42" s="16">
        <f>+'1.1.mell._ÖNK_Mérleg2019'!I42+'1.2.mell._HKÖH_Mérleg2019'!I42+'1.3.mell._HVÓBKI_Mérleg2019'!I42+'1.4.mell._HKK_Mérleg2019'!I42+'1.5._mell._MŐSZ_Mérleg2019'!I42+'1.6._mell._HVGYKCSSZ_Mérleg2019'!I42</f>
        <v>0</v>
      </c>
      <c r="M42" s="4">
        <f t="shared" si="2"/>
        <v>0</v>
      </c>
    </row>
    <row r="43" spans="1:13" ht="12.75" customHeight="1" thickBot="1">
      <c r="A43" s="78" t="s">
        <v>901</v>
      </c>
      <c r="B43" s="68" t="s">
        <v>903</v>
      </c>
      <c r="C43" s="1138">
        <f>+'1.1.mell._ÖNK_Mérleg2019'!C43+'1.2.mell._HKÖH_Mérleg2019'!C43+'1.3.mell._HVÓBKI_Mérleg2019'!C43+'1.4.mell._HKK_Mérleg2019'!C43+'1.5._mell._MŐSZ_Mérleg2019'!C43+'1.6._mell._HVGYKCSSZ_Mérleg2019'!C43</f>
        <v>18947</v>
      </c>
      <c r="D43" s="1147">
        <f>+'1.1.mell._ÖNK_Mérleg2019'!D43+'1.2.mell._HKÖH_Mérleg2019'!D43+'1.3.mell._HVÓBKI_Mérleg2019'!D43+'1.4.mell._HKK_Mérleg2019'!D43+'1.5._mell._MŐSZ_Mérleg2019'!D43+'1.6._mell._HVGYKCSSZ_Mérleg2019'!D43</f>
        <v>11543</v>
      </c>
      <c r="E43" s="1147">
        <f>+'1.1.mell._ÖNK_Mérleg2019'!E43+'1.2.mell._HKÖH_Mérleg2019'!E43+'1.3.mell._HVÓBKI_Mérleg2019'!E43+'1.4.mell._HKK_Mérleg2019'!E43+'1.5._mell._MŐSZ_Mérleg2019'!E43+'1.6._mell._HVGYKCSSZ_Mérleg2019'!E43</f>
        <v>2091</v>
      </c>
      <c r="F43" s="1561">
        <f t="shared" si="1"/>
        <v>0.18114874815905743</v>
      </c>
      <c r="G43" s="21">
        <f>+'1.1.mell._ÖNK_Mérleg2019'!G43+'1.2.mell._HKÖH_Mérleg2019'!G43+'1.3.mell._HVÓBKI_Mérleg2019'!G43+'1.4.mell._HKK_Mérleg2019'!G43+'1.5._mell._MŐSZ_Mérleg2019'!G43+'1.6._mell._HVGYKCSSZ_Mérleg2019'!G43</f>
        <v>2091</v>
      </c>
      <c r="H43" s="22">
        <f>+'1.1.mell._ÖNK_Mérleg2019'!H43+'1.2.mell._HKÖH_Mérleg2019'!H43+'1.3.mell._HVÓBKI_Mérleg2019'!H43+'1.4.mell._HKK_Mérleg2019'!H43+'1.5._mell._MŐSZ_Mérleg2019'!H43+'1.6._mell._HVGYKCSSZ_Mérleg2019'!H43</f>
        <v>0</v>
      </c>
      <c r="I43" s="23">
        <f>+'1.1.mell._ÖNK_Mérleg2019'!I43+'1.2.mell._HKÖH_Mérleg2019'!I43+'1.3.mell._HVÓBKI_Mérleg2019'!I43+'1.4.mell._HKK_Mérleg2019'!I43+'1.5._mell._MŐSZ_Mérleg2019'!I43+'1.6._mell._HVGYKCSSZ_Mérleg2019'!I43</f>
        <v>0</v>
      </c>
      <c r="M43" s="4">
        <f t="shared" si="2"/>
        <v>0</v>
      </c>
    </row>
    <row r="44" spans="1:13" s="3" customFormat="1" ht="12.75" thickBot="1">
      <c r="A44" s="83" t="s">
        <v>16</v>
      </c>
      <c r="B44" s="64" t="s">
        <v>976</v>
      </c>
      <c r="C44" s="1134">
        <f t="shared" ref="C44:E44" si="7">+C45+C46+C47+C48+C49</f>
        <v>5800</v>
      </c>
      <c r="D44" s="1143">
        <f t="shared" si="7"/>
        <v>54816</v>
      </c>
      <c r="E44" s="1143">
        <f t="shared" si="7"/>
        <v>47805</v>
      </c>
      <c r="F44" s="1558">
        <f t="shared" si="1"/>
        <v>0.87209938704028023</v>
      </c>
      <c r="G44" s="27">
        <f>+G45+G46+G47+G48+G49</f>
        <v>47805</v>
      </c>
      <c r="H44" s="28">
        <f>+H45+H46+H47+H48+H49</f>
        <v>0</v>
      </c>
      <c r="I44" s="29">
        <f>+I45+I46+I47+I48+I49</f>
        <v>0</v>
      </c>
      <c r="J44" s="628">
        <f>+C44/$C$102</f>
        <v>1.2545371525770248E-3</v>
      </c>
      <c r="K44" s="628">
        <f>+D44/$D$102</f>
        <v>8.2451872239307777E-3</v>
      </c>
      <c r="L44" s="628">
        <f>+E44/$E$102</f>
        <v>7.4057021970482225E-3</v>
      </c>
      <c r="M44" s="3">
        <f t="shared" si="2"/>
        <v>0</v>
      </c>
    </row>
    <row r="45" spans="1:13" ht="12.75" customHeight="1">
      <c r="A45" s="84" t="s">
        <v>227</v>
      </c>
      <c r="B45" s="65" t="s">
        <v>115</v>
      </c>
      <c r="C45" s="1135">
        <f>+'1.1.mell._ÖNK_Mérleg2019'!C45+'1.2.mell._HKÖH_Mérleg2019'!C45+'1.3.mell._HVÓBKI_Mérleg2019'!C45+'1.4.mell._HKK_Mérleg2019'!C45+'1.5._mell._MŐSZ_Mérleg2019'!C45+'1.6._mell._HVGYKCSSZ_Mérleg2019'!C45</f>
        <v>0</v>
      </c>
      <c r="D45" s="1144">
        <f>+'1.1.mell._ÖNK_Mérleg2019'!D45+'1.2.mell._HKÖH_Mérleg2019'!D45+'1.3.mell._HVÓBKI_Mérleg2019'!D45+'1.4.mell._HKK_Mérleg2019'!D45+'1.5._mell._MŐSZ_Mérleg2019'!D45+'1.6._mell._HVGYKCSSZ_Mérleg2019'!D45</f>
        <v>0</v>
      </c>
      <c r="E45" s="1144">
        <f>+'1.1.mell._ÖNK_Mérleg2019'!E45+'1.2.mell._HKÖH_Mérleg2019'!E45+'1.3.mell._HVÓBKI_Mérleg2019'!E45+'1.4.mell._HKK_Mérleg2019'!E45+'1.5._mell._MŐSZ_Mérleg2019'!E45+'1.6._mell._HVGYKCSSZ_Mérleg2019'!E45</f>
        <v>0</v>
      </c>
      <c r="F45" s="1560" t="str">
        <f t="shared" si="1"/>
        <v>-</v>
      </c>
      <c r="G45" s="34">
        <f>+'1.1.mell._ÖNK_Mérleg2019'!G45+'1.2.mell._HKÖH_Mérleg2019'!G45+'1.3.mell._HVÓBKI_Mérleg2019'!G45+'1.4.mell._HKK_Mérleg2019'!G45+'1.5._mell._MŐSZ_Mérleg2019'!G45+'1.6._mell._HVGYKCSSZ_Mérleg2019'!G45</f>
        <v>0</v>
      </c>
      <c r="H45" s="10">
        <f>+'1.1.mell._ÖNK_Mérleg2019'!H45+'1.2.mell._HKÖH_Mérleg2019'!H45+'1.3.mell._HVÓBKI_Mérleg2019'!H45+'1.4.mell._HKK_Mérleg2019'!H45+'1.5._mell._MŐSZ_Mérleg2019'!H45+'1.6._mell._HVGYKCSSZ_Mérleg2019'!H45</f>
        <v>0</v>
      </c>
      <c r="I45" s="35">
        <f>+'1.1.mell._ÖNK_Mérleg2019'!I45+'1.2.mell._HKÖH_Mérleg2019'!I45+'1.3.mell._HVÓBKI_Mérleg2019'!I45+'1.4.mell._HKK_Mérleg2019'!I45+'1.5._mell._MŐSZ_Mérleg2019'!I45+'1.6._mell._HVGYKCSSZ_Mérleg2019'!I45</f>
        <v>0</v>
      </c>
      <c r="M45" s="4">
        <f t="shared" si="2"/>
        <v>0</v>
      </c>
    </row>
    <row r="46" spans="1:13" ht="12.75" customHeight="1">
      <c r="A46" s="84" t="s">
        <v>228</v>
      </c>
      <c r="B46" s="65" t="s">
        <v>904</v>
      </c>
      <c r="C46" s="1135">
        <f>+'1.1.mell._ÖNK_Mérleg2019'!C46+'1.2.mell._HKÖH_Mérleg2019'!C46+'1.3.mell._HVÓBKI_Mérleg2019'!C46+'1.4.mell._HKK_Mérleg2019'!C46+'1.5._mell._MŐSZ_Mérleg2019'!C46+'1.6._mell._HVGYKCSSZ_Mérleg2019'!C46</f>
        <v>0</v>
      </c>
      <c r="D46" s="1144">
        <f>+'1.1.mell._ÖNK_Mérleg2019'!D46+'1.2.mell._HKÖH_Mérleg2019'!D46+'1.3.mell._HVÓBKI_Mérleg2019'!D46+'1.4.mell._HKK_Mérleg2019'!D46+'1.5._mell._MŐSZ_Mérleg2019'!D46+'1.6._mell._HVGYKCSSZ_Mérleg2019'!D46</f>
        <v>0</v>
      </c>
      <c r="E46" s="1144">
        <f>+'1.1.mell._ÖNK_Mérleg2019'!E46+'1.2.mell._HKÖH_Mérleg2019'!E46+'1.3.mell._HVÓBKI_Mérleg2019'!E46+'1.4.mell._HKK_Mérleg2019'!E46+'1.5._mell._MŐSZ_Mérleg2019'!E46+'1.6._mell._HVGYKCSSZ_Mérleg2019'!E46</f>
        <v>0</v>
      </c>
      <c r="F46" s="1560" t="str">
        <f t="shared" si="1"/>
        <v>-</v>
      </c>
      <c r="G46" s="34">
        <f>+'1.1.mell._ÖNK_Mérleg2019'!G46+'1.2.mell._HKÖH_Mérleg2019'!G46+'1.3.mell._HVÓBKI_Mérleg2019'!G46+'1.4.mell._HKK_Mérleg2019'!G46+'1.5._mell._MŐSZ_Mérleg2019'!G46+'1.6._mell._HVGYKCSSZ_Mérleg2019'!G46</f>
        <v>0</v>
      </c>
      <c r="H46" s="10">
        <f>+'1.1.mell._ÖNK_Mérleg2019'!H46+'1.2.mell._HKÖH_Mérleg2019'!H46+'1.3.mell._HVÓBKI_Mérleg2019'!H46+'1.4.mell._HKK_Mérleg2019'!H46+'1.5._mell._MŐSZ_Mérleg2019'!H46+'1.6._mell._HVGYKCSSZ_Mérleg2019'!H46</f>
        <v>0</v>
      </c>
      <c r="I46" s="35">
        <f>+'1.1.mell._ÖNK_Mérleg2019'!I46+'1.2.mell._HKÖH_Mérleg2019'!I46+'1.3.mell._HVÓBKI_Mérleg2019'!I46+'1.4.mell._HKK_Mérleg2019'!I46+'1.5._mell._MŐSZ_Mérleg2019'!I46+'1.6._mell._HVGYKCSSZ_Mérleg2019'!I46</f>
        <v>0</v>
      </c>
      <c r="M46" s="4">
        <f t="shared" si="2"/>
        <v>0</v>
      </c>
    </row>
    <row r="47" spans="1:13" ht="12.75" customHeight="1">
      <c r="A47" s="84" t="s">
        <v>229</v>
      </c>
      <c r="B47" s="65" t="s">
        <v>905</v>
      </c>
      <c r="C47" s="1135">
        <f>+'1.1.mell._ÖNK_Mérleg2019'!C47+'1.2.mell._HKÖH_Mérleg2019'!C47+'1.3.mell._HVÓBKI_Mérleg2019'!C47+'1.4.mell._HKK_Mérleg2019'!C47+'1.5._mell._MŐSZ_Mérleg2019'!C47+'1.6._mell._HVGYKCSSZ_Mérleg2019'!C47</f>
        <v>0</v>
      </c>
      <c r="D47" s="1144">
        <f>+'1.1.mell._ÖNK_Mérleg2019'!D47+'1.2.mell._HKÖH_Mérleg2019'!D47+'1.3.mell._HVÓBKI_Mérleg2019'!D47+'1.4.mell._HKK_Mérleg2019'!D47+'1.5._mell._MŐSZ_Mérleg2019'!D47+'1.6._mell._HVGYKCSSZ_Mérleg2019'!D47</f>
        <v>0</v>
      </c>
      <c r="E47" s="1144">
        <f>+'1.1.mell._ÖNK_Mérleg2019'!E47+'1.2.mell._HKÖH_Mérleg2019'!E47+'1.3.mell._HVÓBKI_Mérleg2019'!E47+'1.4.mell._HKK_Mérleg2019'!E47+'1.5._mell._MŐSZ_Mérleg2019'!E47+'1.6._mell._HVGYKCSSZ_Mérleg2019'!E47</f>
        <v>0</v>
      </c>
      <c r="F47" s="1560" t="str">
        <f t="shared" si="1"/>
        <v>-</v>
      </c>
      <c r="G47" s="34">
        <f>+'1.1.mell._ÖNK_Mérleg2019'!G47+'1.2.mell._HKÖH_Mérleg2019'!G47+'1.3.mell._HVÓBKI_Mérleg2019'!G47+'1.4.mell._HKK_Mérleg2019'!G47+'1.5._mell._MŐSZ_Mérleg2019'!G47+'1.6._mell._HVGYKCSSZ_Mérleg2019'!G47</f>
        <v>0</v>
      </c>
      <c r="H47" s="10">
        <f>+'1.1.mell._ÖNK_Mérleg2019'!H47+'1.2.mell._HKÖH_Mérleg2019'!H47+'1.3.mell._HVÓBKI_Mérleg2019'!H47+'1.4.mell._HKK_Mérleg2019'!H47+'1.5._mell._MŐSZ_Mérleg2019'!H47+'1.6._mell._HVGYKCSSZ_Mérleg2019'!H47</f>
        <v>0</v>
      </c>
      <c r="I47" s="35">
        <f>+'1.1.mell._ÖNK_Mérleg2019'!I47+'1.2.mell._HKÖH_Mérleg2019'!I47+'1.3.mell._HVÓBKI_Mérleg2019'!I47+'1.4.mell._HKK_Mérleg2019'!I47+'1.5._mell._MŐSZ_Mérleg2019'!I47+'1.6._mell._HVGYKCSSZ_Mérleg2019'!I47</f>
        <v>0</v>
      </c>
      <c r="M47" s="4">
        <f t="shared" si="2"/>
        <v>0</v>
      </c>
    </row>
    <row r="48" spans="1:13" ht="12.75" customHeight="1">
      <c r="A48" s="85" t="s">
        <v>257</v>
      </c>
      <c r="B48" s="67" t="s">
        <v>906</v>
      </c>
      <c r="C48" s="1137">
        <f>+'1.1.mell._ÖNK_Mérleg2019'!C48+'1.2.mell._HKÖH_Mérleg2019'!C48+'1.3.mell._HVÓBKI_Mérleg2019'!C48+'1.4.mell._HKK_Mérleg2019'!C48+'1.5._mell._MŐSZ_Mérleg2019'!C48+'1.6._mell._HVGYKCSSZ_Mérleg2019'!C48</f>
        <v>4000</v>
      </c>
      <c r="D48" s="1146">
        <f>+'1.1.mell._ÖNK_Mérleg2019'!D48+'1.2.mell._HKÖH_Mérleg2019'!D48+'1.3.mell._HVÓBKI_Mérleg2019'!D48+'1.4.mell._HKK_Mérleg2019'!D48+'1.5._mell._MŐSZ_Mérleg2019'!D48+'1.6._mell._HVGYKCSSZ_Mérleg2019'!D48</f>
        <v>51011</v>
      </c>
      <c r="E48" s="1146">
        <f>+'1.1.mell._ÖNK_Mérleg2019'!E48+'1.2.mell._HKÖH_Mérleg2019'!E48+'1.3.mell._HVÓBKI_Mérleg2019'!E48+'1.4.mell._HKK_Mérleg2019'!E48+'1.5._mell._MŐSZ_Mérleg2019'!E48+'1.6._mell._HVGYKCSSZ_Mérleg2019'!E48</f>
        <v>44885</v>
      </c>
      <c r="F48" s="1562">
        <f t="shared" si="1"/>
        <v>0.87990825508223713</v>
      </c>
      <c r="G48" s="20">
        <f>+'1.1.mell._ÖNK_Mérleg2019'!G48+'1.2.mell._HKÖH_Mérleg2019'!G48+'1.3.mell._HVÓBKI_Mérleg2019'!G48+'1.4.mell._HKK_Mérleg2019'!G48+'1.5._mell._MŐSZ_Mérleg2019'!G48+'1.6._mell._HVGYKCSSZ_Mérleg2019'!G48</f>
        <v>44885</v>
      </c>
      <c r="H48" s="11">
        <f>+'1.1.mell._ÖNK_Mérleg2019'!H48+'1.2.mell._HKÖH_Mérleg2019'!H48+'1.3.mell._HVÓBKI_Mérleg2019'!H48+'1.4.mell._HKK_Mérleg2019'!H48+'1.5._mell._MŐSZ_Mérleg2019'!H48+'1.6._mell._HVGYKCSSZ_Mérleg2019'!H48</f>
        <v>0</v>
      </c>
      <c r="I48" s="16">
        <f>+'1.1.mell._ÖNK_Mérleg2019'!I48+'1.2.mell._HKÖH_Mérleg2019'!I48+'1.3.mell._HVÓBKI_Mérleg2019'!I48+'1.4.mell._HKK_Mérleg2019'!I48+'1.5._mell._MŐSZ_Mérleg2019'!I48+'1.6._mell._HVGYKCSSZ_Mérleg2019'!I48</f>
        <v>0</v>
      </c>
      <c r="M48" s="4">
        <f t="shared" si="2"/>
        <v>0</v>
      </c>
    </row>
    <row r="49" spans="1:13" ht="12.75" customHeight="1" thickBot="1">
      <c r="A49" s="78" t="s">
        <v>258</v>
      </c>
      <c r="B49" s="68" t="s">
        <v>907</v>
      </c>
      <c r="C49" s="1138">
        <f>+'1.1.mell._ÖNK_Mérleg2019'!C49+'1.2.mell._HKÖH_Mérleg2019'!C49+'1.3.mell._HVÓBKI_Mérleg2019'!C49+'1.4.mell._HKK_Mérleg2019'!C49+'1.5._mell._MŐSZ_Mérleg2019'!C49+'1.6._mell._HVGYKCSSZ_Mérleg2019'!C49</f>
        <v>1800</v>
      </c>
      <c r="D49" s="1147">
        <f>+'1.1.mell._ÖNK_Mérleg2019'!D49+'1.2.mell._HKÖH_Mérleg2019'!D49+'1.3.mell._HVÓBKI_Mérleg2019'!D49+'1.4.mell._HKK_Mérleg2019'!D49+'1.5._mell._MŐSZ_Mérleg2019'!D49+'1.6._mell._HVGYKCSSZ_Mérleg2019'!D49</f>
        <v>3805</v>
      </c>
      <c r="E49" s="1147">
        <f>+'1.1.mell._ÖNK_Mérleg2019'!E49+'1.2.mell._HKÖH_Mérleg2019'!E49+'1.3.mell._HVÓBKI_Mérleg2019'!E49+'1.4.mell._HKK_Mérleg2019'!E49+'1.5._mell._MŐSZ_Mérleg2019'!E49+'1.6._mell._HVGYKCSSZ_Mérleg2019'!E49</f>
        <v>2920</v>
      </c>
      <c r="F49" s="1561">
        <f t="shared" si="1"/>
        <v>0.76741130091984233</v>
      </c>
      <c r="G49" s="21">
        <f>+'1.1.mell._ÖNK_Mérleg2019'!G49+'1.2.mell._HKÖH_Mérleg2019'!G49+'1.3.mell._HVÓBKI_Mérleg2019'!G49+'1.4.mell._HKK_Mérleg2019'!G49+'1.5._mell._MŐSZ_Mérleg2019'!G49+'1.6._mell._HVGYKCSSZ_Mérleg2019'!G49</f>
        <v>2920</v>
      </c>
      <c r="H49" s="22">
        <f>+'1.1.mell._ÖNK_Mérleg2019'!H49+'1.2.mell._HKÖH_Mérleg2019'!H49+'1.3.mell._HVÓBKI_Mérleg2019'!H49+'1.4.mell._HKK_Mérleg2019'!H49+'1.5._mell._MŐSZ_Mérleg2019'!H49+'1.6._mell._HVGYKCSSZ_Mérleg2019'!H49</f>
        <v>0</v>
      </c>
      <c r="I49" s="23">
        <f>+'1.1.mell._ÖNK_Mérleg2019'!I49+'1.2.mell._HKÖH_Mérleg2019'!I49+'1.3.mell._HVÓBKI_Mérleg2019'!I49+'1.4.mell._HKK_Mérleg2019'!I49+'1.5._mell._MŐSZ_Mérleg2019'!I49+'1.6._mell._HVGYKCSSZ_Mérleg2019'!I49</f>
        <v>0</v>
      </c>
      <c r="M49" s="4">
        <f t="shared" si="2"/>
        <v>0</v>
      </c>
    </row>
    <row r="50" spans="1:13" s="3" customFormat="1" ht="12.75" thickBot="1">
      <c r="A50" s="83" t="s">
        <v>15</v>
      </c>
      <c r="B50" s="69" t="s">
        <v>300</v>
      </c>
      <c r="C50" s="1134">
        <f t="shared" ref="C50:E50" si="8">+C51+C58+C64</f>
        <v>389249</v>
      </c>
      <c r="D50" s="1143">
        <f t="shared" si="8"/>
        <v>1227138</v>
      </c>
      <c r="E50" s="1143">
        <f t="shared" si="8"/>
        <v>1220568</v>
      </c>
      <c r="F50" s="1558">
        <f t="shared" si="1"/>
        <v>0.9946460789251087</v>
      </c>
      <c r="G50" s="27">
        <f>+G51+G58+G64</f>
        <v>1219730</v>
      </c>
      <c r="H50" s="28">
        <f>+H51+H58+H64</f>
        <v>838</v>
      </c>
      <c r="I50" s="29">
        <f>+I51+I58+I64</f>
        <v>0</v>
      </c>
      <c r="J50" s="628">
        <f>+C50/$C$102</f>
        <v>8.4194367604043849E-2</v>
      </c>
      <c r="K50" s="628">
        <f>+D50/$D$102</f>
        <v>0.18458082602889606</v>
      </c>
      <c r="L50" s="628">
        <f>+E50/$E$102</f>
        <v>0.18908405228002834</v>
      </c>
      <c r="M50" s="3">
        <f t="shared" si="2"/>
        <v>0</v>
      </c>
    </row>
    <row r="51" spans="1:13" s="3" customFormat="1" ht="12.75" customHeight="1" thickBot="1">
      <c r="A51" s="83" t="s">
        <v>14</v>
      </c>
      <c r="B51" s="64" t="s">
        <v>301</v>
      </c>
      <c r="C51" s="1134">
        <f t="shared" ref="C51:E51" si="9">+C52+C53+C54+C55+C56</f>
        <v>377399</v>
      </c>
      <c r="D51" s="1143">
        <f t="shared" si="9"/>
        <v>1215708</v>
      </c>
      <c r="E51" s="1143">
        <f t="shared" si="9"/>
        <v>1215708</v>
      </c>
      <c r="F51" s="1558">
        <f t="shared" si="1"/>
        <v>1</v>
      </c>
      <c r="G51" s="27">
        <f>+G52+G53+G54+G55+G56</f>
        <v>1215708</v>
      </c>
      <c r="H51" s="28">
        <f>+H52+H53+H54+H55+H56</f>
        <v>0</v>
      </c>
      <c r="I51" s="29">
        <f>+I52+I53+I54+I55+I56</f>
        <v>0</v>
      </c>
      <c r="J51" s="628">
        <f>+C51/$C$102</f>
        <v>8.1631218421623547E-2</v>
      </c>
      <c r="K51" s="628">
        <f>+D51/$D$102</f>
        <v>0.18286157453353835</v>
      </c>
      <c r="L51" s="628">
        <f>+E51/$E$102</f>
        <v>0.18833116633341909</v>
      </c>
      <c r="M51" s="3">
        <f t="shared" si="2"/>
        <v>0</v>
      </c>
    </row>
    <row r="52" spans="1:13">
      <c r="A52" s="84" t="s">
        <v>185</v>
      </c>
      <c r="B52" s="113" t="s">
        <v>116</v>
      </c>
      <c r="C52" s="1135">
        <f>+'1.1.mell._ÖNK_Mérleg2019'!C52+'1.2.mell._HKÖH_Mérleg2019'!C52+'1.3.mell._HVÓBKI_Mérleg2019'!C52+'1.4.mell._HKK_Mérleg2019'!C52+'1.5._mell._MŐSZ_Mérleg2019'!C52+'1.6._mell._HVGYKCSSZ_Mérleg2019'!C52</f>
        <v>0</v>
      </c>
      <c r="D52" s="1144">
        <f>+'1.1.mell._ÖNK_Mérleg2019'!D52+'1.2.mell._HKÖH_Mérleg2019'!D52+'1.3.mell._HVÓBKI_Mérleg2019'!D52+'1.4.mell._HKK_Mérleg2019'!D52+'1.5._mell._MŐSZ_Mérleg2019'!D52+'1.6._mell._HVGYKCSSZ_Mérleg2019'!D52</f>
        <v>382626</v>
      </c>
      <c r="E52" s="1144">
        <f>+'1.1.mell._ÖNK_Mérleg2019'!E52+'1.2.mell._HKÖH_Mérleg2019'!E52+'1.3.mell._HVÓBKI_Mérleg2019'!E52+'1.4.mell._HKK_Mérleg2019'!E52+'1.5._mell._MŐSZ_Mérleg2019'!E52+'1.6._mell._HVGYKCSSZ_Mérleg2019'!E52</f>
        <v>382626</v>
      </c>
      <c r="F52" s="1560">
        <f t="shared" si="1"/>
        <v>1</v>
      </c>
      <c r="G52" s="34">
        <f>+'1.1.mell._ÖNK_Mérleg2019'!G52+'1.2.mell._HKÖH_Mérleg2019'!G52+'1.3.mell._HVÓBKI_Mérleg2019'!G52+'1.4.mell._HKK_Mérleg2019'!G52+'1.5._mell._MŐSZ_Mérleg2019'!G52+'1.6._mell._HVGYKCSSZ_Mérleg2019'!G52</f>
        <v>382626</v>
      </c>
      <c r="H52" s="10">
        <f>+'1.1.mell._ÖNK_Mérleg2019'!H52+'1.2.mell._HKÖH_Mérleg2019'!H52+'1.3.mell._HVÓBKI_Mérleg2019'!H52+'1.4.mell._HKK_Mérleg2019'!H52+'1.5._mell._MŐSZ_Mérleg2019'!H52+'1.6._mell._HVGYKCSSZ_Mérleg2019'!H52</f>
        <v>0</v>
      </c>
      <c r="I52" s="35">
        <f>+'1.1.mell._ÖNK_Mérleg2019'!I52+'1.2.mell._HKÖH_Mérleg2019'!I52+'1.3.mell._HVÓBKI_Mérleg2019'!I52+'1.4.mell._HKK_Mérleg2019'!I52+'1.5._mell._MŐSZ_Mérleg2019'!I52+'1.6._mell._HVGYKCSSZ_Mérleg2019'!I52</f>
        <v>0</v>
      </c>
      <c r="M52" s="4">
        <f t="shared" si="2"/>
        <v>0</v>
      </c>
    </row>
    <row r="53" spans="1:13">
      <c r="A53" s="85" t="s">
        <v>186</v>
      </c>
      <c r="B53" s="67" t="s">
        <v>117</v>
      </c>
      <c r="C53" s="1137">
        <f>+'1.1.mell._ÖNK_Mérleg2019'!C53+'1.2.mell._HKÖH_Mérleg2019'!C53+'1.3.mell._HVÓBKI_Mérleg2019'!C53+'1.4.mell._HKK_Mérleg2019'!C53+'1.5._mell._MŐSZ_Mérleg2019'!C53+'1.6._mell._HVGYKCSSZ_Mérleg2019'!C53</f>
        <v>0</v>
      </c>
      <c r="D53" s="1146">
        <f>+'1.1.mell._ÖNK_Mérleg2019'!D53+'1.2.mell._HKÖH_Mérleg2019'!D53+'1.3.mell._HVÓBKI_Mérleg2019'!D53+'1.4.mell._HKK_Mérleg2019'!D53+'1.5._mell._MŐSZ_Mérleg2019'!D53+'1.6._mell._HVGYKCSSZ_Mérleg2019'!D53</f>
        <v>0</v>
      </c>
      <c r="E53" s="1146">
        <f>+'1.1.mell._ÖNK_Mérleg2019'!E53+'1.2.mell._HKÖH_Mérleg2019'!E53+'1.3.mell._HVÓBKI_Mérleg2019'!E53+'1.4.mell._HKK_Mérleg2019'!E53+'1.5._mell._MŐSZ_Mérleg2019'!E53+'1.6._mell._HVGYKCSSZ_Mérleg2019'!E53</f>
        <v>0</v>
      </c>
      <c r="F53" s="1562" t="str">
        <f t="shared" si="1"/>
        <v>-</v>
      </c>
      <c r="G53" s="20">
        <f>+'1.1.mell._ÖNK_Mérleg2019'!G53+'1.2.mell._HKÖH_Mérleg2019'!G53+'1.3.mell._HVÓBKI_Mérleg2019'!G53+'1.4.mell._HKK_Mérleg2019'!G53+'1.5._mell._MŐSZ_Mérleg2019'!G53+'1.6._mell._HVGYKCSSZ_Mérleg2019'!G53</f>
        <v>0</v>
      </c>
      <c r="H53" s="11">
        <f>+'1.1.mell._ÖNK_Mérleg2019'!H53+'1.2.mell._HKÖH_Mérleg2019'!H53+'1.3.mell._HVÓBKI_Mérleg2019'!H53+'1.4.mell._HKK_Mérleg2019'!H53+'1.5._mell._MŐSZ_Mérleg2019'!H53+'1.6._mell._HVGYKCSSZ_Mérleg2019'!H53</f>
        <v>0</v>
      </c>
      <c r="I53" s="16">
        <f>+'1.1.mell._ÖNK_Mérleg2019'!I53+'1.2.mell._HKÖH_Mérleg2019'!I53+'1.3.mell._HVÓBKI_Mérleg2019'!I53+'1.4.mell._HKK_Mérleg2019'!I53+'1.5._mell._MŐSZ_Mérleg2019'!I53+'1.6._mell._HVGYKCSSZ_Mérleg2019'!I53</f>
        <v>0</v>
      </c>
      <c r="M53" s="4">
        <f t="shared" si="2"/>
        <v>0</v>
      </c>
    </row>
    <row r="54" spans="1:13">
      <c r="A54" s="85" t="s">
        <v>187</v>
      </c>
      <c r="B54" s="67" t="s">
        <v>118</v>
      </c>
      <c r="C54" s="1137">
        <f>+'1.1.mell._ÖNK_Mérleg2019'!C54+'1.2.mell._HKÖH_Mérleg2019'!C54+'1.3.mell._HVÓBKI_Mérleg2019'!C54+'1.4.mell._HKK_Mérleg2019'!C54+'1.5._mell._MŐSZ_Mérleg2019'!C54+'1.6._mell._HVGYKCSSZ_Mérleg2019'!C54</f>
        <v>0</v>
      </c>
      <c r="D54" s="1146">
        <f>+'1.1.mell._ÖNK_Mérleg2019'!D54+'1.2.mell._HKÖH_Mérleg2019'!D54+'1.3.mell._HVÓBKI_Mérleg2019'!D54+'1.4.mell._HKK_Mérleg2019'!D54+'1.5._mell._MŐSZ_Mérleg2019'!D54+'1.6._mell._HVGYKCSSZ_Mérleg2019'!D54</f>
        <v>0</v>
      </c>
      <c r="E54" s="1146">
        <f>+'1.1.mell._ÖNK_Mérleg2019'!E54+'1.2.mell._HKÖH_Mérleg2019'!E54+'1.3.mell._HVÓBKI_Mérleg2019'!E54+'1.4.mell._HKK_Mérleg2019'!E54+'1.5._mell._MŐSZ_Mérleg2019'!E54+'1.6._mell._HVGYKCSSZ_Mérleg2019'!E54</f>
        <v>0</v>
      </c>
      <c r="F54" s="1562" t="str">
        <f t="shared" si="1"/>
        <v>-</v>
      </c>
      <c r="G54" s="20">
        <f>+'1.1.mell._ÖNK_Mérleg2019'!G54+'1.2.mell._HKÖH_Mérleg2019'!G54+'1.3.mell._HVÓBKI_Mérleg2019'!G54+'1.4.mell._HKK_Mérleg2019'!G54+'1.5._mell._MŐSZ_Mérleg2019'!G54+'1.6._mell._HVGYKCSSZ_Mérleg2019'!G54</f>
        <v>0</v>
      </c>
      <c r="H54" s="11">
        <f>+'1.1.mell._ÖNK_Mérleg2019'!H54+'1.2.mell._HKÖH_Mérleg2019'!H54+'1.3.mell._HVÓBKI_Mérleg2019'!H54+'1.4.mell._HKK_Mérleg2019'!H54+'1.5._mell._MŐSZ_Mérleg2019'!H54+'1.6._mell._HVGYKCSSZ_Mérleg2019'!H54</f>
        <v>0</v>
      </c>
      <c r="I54" s="16">
        <f>+'1.1.mell._ÖNK_Mérleg2019'!I54+'1.2.mell._HKÖH_Mérleg2019'!I54+'1.3.mell._HVÓBKI_Mérleg2019'!I54+'1.4.mell._HKK_Mérleg2019'!I54+'1.5._mell._MŐSZ_Mérleg2019'!I54+'1.6._mell._HVGYKCSSZ_Mérleg2019'!I54</f>
        <v>0</v>
      </c>
      <c r="M54" s="4">
        <f t="shared" si="2"/>
        <v>0</v>
      </c>
    </row>
    <row r="55" spans="1:13">
      <c r="A55" s="85" t="s">
        <v>188</v>
      </c>
      <c r="B55" s="67" t="s">
        <v>119</v>
      </c>
      <c r="C55" s="1137">
        <f>+'1.1.mell._ÖNK_Mérleg2019'!C55+'1.2.mell._HKÖH_Mérleg2019'!C55+'1.3.mell._HVÓBKI_Mérleg2019'!C55+'1.4.mell._HKK_Mérleg2019'!C55+'1.5._mell._MŐSZ_Mérleg2019'!C55+'1.6._mell._HVGYKCSSZ_Mérleg2019'!C55</f>
        <v>0</v>
      </c>
      <c r="D55" s="1146">
        <f>+'1.1.mell._ÖNK_Mérleg2019'!D55+'1.2.mell._HKÖH_Mérleg2019'!D55+'1.3.mell._HVÓBKI_Mérleg2019'!D55+'1.4.mell._HKK_Mérleg2019'!D55+'1.5._mell._MŐSZ_Mérleg2019'!D55+'1.6._mell._HVGYKCSSZ_Mérleg2019'!D55</f>
        <v>0</v>
      </c>
      <c r="E55" s="1146">
        <f>+'1.1.mell._ÖNK_Mérleg2019'!E55+'1.2.mell._HKÖH_Mérleg2019'!E55+'1.3.mell._HVÓBKI_Mérleg2019'!E55+'1.4.mell._HKK_Mérleg2019'!E55+'1.5._mell._MŐSZ_Mérleg2019'!E55+'1.6._mell._HVGYKCSSZ_Mérleg2019'!E55</f>
        <v>0</v>
      </c>
      <c r="F55" s="1562" t="str">
        <f t="shared" si="1"/>
        <v>-</v>
      </c>
      <c r="G55" s="20">
        <f>+'1.1.mell._ÖNK_Mérleg2019'!G55+'1.2.mell._HKÖH_Mérleg2019'!G55+'1.3.mell._HVÓBKI_Mérleg2019'!G55+'1.4.mell._HKK_Mérleg2019'!G55+'1.5._mell._MŐSZ_Mérleg2019'!G55+'1.6._mell._HVGYKCSSZ_Mérleg2019'!G55</f>
        <v>0</v>
      </c>
      <c r="H55" s="11">
        <f>+'1.1.mell._ÖNK_Mérleg2019'!H55+'1.2.mell._HKÖH_Mérleg2019'!H55+'1.3.mell._HVÓBKI_Mérleg2019'!H55+'1.4.mell._HKK_Mérleg2019'!H55+'1.5._mell._MŐSZ_Mérleg2019'!H55+'1.6._mell._HVGYKCSSZ_Mérleg2019'!H55</f>
        <v>0</v>
      </c>
      <c r="I55" s="16">
        <f>+'1.1.mell._ÖNK_Mérleg2019'!I55+'1.2.mell._HKÖH_Mérleg2019'!I55+'1.3.mell._HVÓBKI_Mérleg2019'!I55+'1.4.mell._HKK_Mérleg2019'!I55+'1.5._mell._MŐSZ_Mérleg2019'!I55+'1.6._mell._HVGYKCSSZ_Mérleg2019'!I55</f>
        <v>0</v>
      </c>
      <c r="M55" s="4">
        <f t="shared" si="2"/>
        <v>0</v>
      </c>
    </row>
    <row r="56" spans="1:13">
      <c r="A56" s="78" t="s">
        <v>189</v>
      </c>
      <c r="B56" s="68" t="s">
        <v>120</v>
      </c>
      <c r="C56" s="1138">
        <f>+'1.1.mell._ÖNK_Mérleg2019'!C56+'1.2.mell._HKÖH_Mérleg2019'!C56+'1.3.mell._HVÓBKI_Mérleg2019'!C56+'1.4.mell._HKK_Mérleg2019'!C56+'1.5._mell._MŐSZ_Mérleg2019'!C56+'1.6._mell._HVGYKCSSZ_Mérleg2019'!C56</f>
        <v>377399</v>
      </c>
      <c r="D56" s="1147">
        <f>+'1.1.mell._ÖNK_Mérleg2019'!D56+'1.2.mell._HKÖH_Mérleg2019'!D56+'1.3.mell._HVÓBKI_Mérleg2019'!D56+'1.4.mell._HKK_Mérleg2019'!D56+'1.5._mell._MŐSZ_Mérleg2019'!D56+'1.6._mell._HVGYKCSSZ_Mérleg2019'!D56</f>
        <v>833082</v>
      </c>
      <c r="E56" s="1147">
        <f>+'1.1.mell._ÖNK_Mérleg2019'!E56+'1.2.mell._HKÖH_Mérleg2019'!E56+'1.3.mell._HVÓBKI_Mérleg2019'!E56+'1.4.mell._HKK_Mérleg2019'!E56+'1.5._mell._MŐSZ_Mérleg2019'!E56+'1.6._mell._HVGYKCSSZ_Mérleg2019'!E56</f>
        <v>833082</v>
      </c>
      <c r="F56" s="1561">
        <f t="shared" si="1"/>
        <v>1</v>
      </c>
      <c r="G56" s="21">
        <f>+'1.1.mell._ÖNK_Mérleg2019'!G56+'1.2.mell._HKÖH_Mérleg2019'!G56+'1.3.mell._HVÓBKI_Mérleg2019'!G56+'1.4.mell._HKK_Mérleg2019'!G56+'1.5._mell._MŐSZ_Mérleg2019'!G56+'1.6._mell._HVGYKCSSZ_Mérleg2019'!G56</f>
        <v>833082</v>
      </c>
      <c r="H56" s="22">
        <f>+'1.1.mell._ÖNK_Mérleg2019'!H56+'1.2.mell._HKÖH_Mérleg2019'!H56+'1.3.mell._HVÓBKI_Mérleg2019'!H56+'1.4.mell._HKK_Mérleg2019'!H56+'1.5._mell._MŐSZ_Mérleg2019'!H56+'1.6._mell._HVGYKCSSZ_Mérleg2019'!H56</f>
        <v>0</v>
      </c>
      <c r="I56" s="23">
        <f>+'1.1.mell._ÖNK_Mérleg2019'!I56+'1.2.mell._HKÖH_Mérleg2019'!I56+'1.3.mell._HVÓBKI_Mérleg2019'!I56+'1.4.mell._HKK_Mérleg2019'!I56+'1.5._mell._MŐSZ_Mérleg2019'!I56+'1.6._mell._HVGYKCSSZ_Mérleg2019'!I56</f>
        <v>0</v>
      </c>
      <c r="M56" s="4">
        <f t="shared" si="2"/>
        <v>0</v>
      </c>
    </row>
    <row r="57" spans="1:13" s="13" customFormat="1" ht="12.75" thickBot="1">
      <c r="A57" s="89" t="s">
        <v>334</v>
      </c>
      <c r="B57" s="704" t="s">
        <v>338</v>
      </c>
      <c r="C57" s="1139">
        <f>+'1.1.mell._ÖNK_Mérleg2019'!C57+'1.2.mell._HKÖH_Mérleg2019'!C57+'1.3.mell._HVÓBKI_Mérleg2019'!C57+'1.4.mell._HKK_Mérleg2019'!C57+'1.5._mell._MŐSZ_Mérleg2019'!C57+'1.6._mell._HVGYKCSSZ_Mérleg2019'!C57</f>
        <v>0</v>
      </c>
      <c r="D57" s="1148">
        <f>+'1.1.mell._ÖNK_Mérleg2019'!D57+'1.2.mell._HKÖH_Mérleg2019'!D57+'1.3.mell._HVÓBKI_Mérleg2019'!D57+'1.4.mell._HKK_Mérleg2019'!D57+'1.5._mell._MŐSZ_Mérleg2019'!D57+'1.6._mell._HVGYKCSSZ_Mérleg2019'!D57</f>
        <v>828472</v>
      </c>
      <c r="E57" s="1148">
        <f>+'1.1.mell._ÖNK_Mérleg2019'!E57+'1.2.mell._HKÖH_Mérleg2019'!E57+'1.3.mell._HVÓBKI_Mérleg2019'!E57+'1.4.mell._HKK_Mérleg2019'!E57+'1.5._mell._MŐSZ_Mérleg2019'!E57+'1.6._mell._HVGYKCSSZ_Mérleg2019'!E57</f>
        <v>828472</v>
      </c>
      <c r="F57" s="1561">
        <f t="shared" si="1"/>
        <v>1</v>
      </c>
      <c r="G57" s="45">
        <f>+'1.1.mell._ÖNK_Mérleg2019'!G57+'1.2.mell._HKÖH_Mérleg2019'!G57+'1.3.mell._HVÓBKI_Mérleg2019'!G57+'1.4.mell._HKK_Mérleg2019'!G57+'1.5._mell._MŐSZ_Mérleg2019'!G57+'1.6._mell._HVGYKCSSZ_Mérleg2019'!G57</f>
        <v>828472</v>
      </c>
      <c r="H57" s="43">
        <f>+'1.1.mell._ÖNK_Mérleg2019'!H57+'1.2.mell._HKÖH_Mérleg2019'!H57+'1.3.mell._HVÓBKI_Mérleg2019'!H57+'1.4.mell._HKK_Mérleg2019'!H57+'1.5._mell._MŐSZ_Mérleg2019'!H57+'1.6._mell._HVGYKCSSZ_Mérleg2019'!H57</f>
        <v>0</v>
      </c>
      <c r="I57" s="44">
        <f>+'1.1.mell._ÖNK_Mérleg2019'!I57+'1.2.mell._HKÖH_Mérleg2019'!I57+'1.3.mell._HVÓBKI_Mérleg2019'!I57+'1.4.mell._HKK_Mérleg2019'!I57+'1.5._mell._MŐSZ_Mérleg2019'!I57+'1.6._mell._HVGYKCSSZ_Mérleg2019'!I57</f>
        <v>0</v>
      </c>
      <c r="M57" s="13">
        <f t="shared" si="2"/>
        <v>0</v>
      </c>
    </row>
    <row r="58" spans="1:13" s="3" customFormat="1" ht="12.75" customHeight="1" thickBot="1">
      <c r="A58" s="83" t="s">
        <v>13</v>
      </c>
      <c r="B58" s="64" t="s">
        <v>302</v>
      </c>
      <c r="C58" s="1134">
        <f t="shared" ref="C58:E58" si="10">+C59+C60+C61+C62+C63</f>
        <v>10350</v>
      </c>
      <c r="D58" s="1143">
        <f t="shared" si="10"/>
        <v>4878</v>
      </c>
      <c r="E58" s="1143">
        <f t="shared" si="10"/>
        <v>4022</v>
      </c>
      <c r="F58" s="1558">
        <f t="shared" si="1"/>
        <v>0.82451824518245187</v>
      </c>
      <c r="G58" s="27">
        <f>+G59+G60+G61+G62+G63</f>
        <v>4022</v>
      </c>
      <c r="H58" s="28">
        <f>+H59+H60+H61+H62+H63</f>
        <v>0</v>
      </c>
      <c r="I58" s="29">
        <f>+I59+I60+I61+I62+I63</f>
        <v>0</v>
      </c>
      <c r="J58" s="628">
        <f>+C58/$C$102</f>
        <v>2.2386999188227941E-3</v>
      </c>
      <c r="K58" s="628">
        <f>+D58/$D$102</f>
        <v>7.3372780353061758E-4</v>
      </c>
      <c r="L58" s="628">
        <f>+E58/$E$102</f>
        <v>6.2306734100048007E-4</v>
      </c>
      <c r="M58" s="3">
        <f t="shared" si="2"/>
        <v>0</v>
      </c>
    </row>
    <row r="59" spans="1:13" ht="12.75" customHeight="1">
      <c r="A59" s="84" t="s">
        <v>66</v>
      </c>
      <c r="B59" s="65" t="s">
        <v>121</v>
      </c>
      <c r="C59" s="1135">
        <f>+'1.1.mell._ÖNK_Mérleg2019'!C59+'1.2.mell._HKÖH_Mérleg2019'!C59+'1.3.mell._HVÓBKI_Mérleg2019'!C59+'1.4.mell._HKK_Mérleg2019'!C59+'1.5._mell._MŐSZ_Mérleg2019'!C59+'1.6._mell._HVGYKCSSZ_Mérleg2019'!C59</f>
        <v>0</v>
      </c>
      <c r="D59" s="1144">
        <f>+'1.1.mell._ÖNK_Mérleg2019'!D59+'1.2.mell._HKÖH_Mérleg2019'!D59+'1.3.mell._HVÓBKI_Mérleg2019'!D59+'1.4.mell._HKK_Mérleg2019'!D59+'1.5._mell._MŐSZ_Mérleg2019'!D59+'1.6._mell._HVGYKCSSZ_Mérleg2019'!D59</f>
        <v>0</v>
      </c>
      <c r="E59" s="1144">
        <f>+'1.1.mell._ÖNK_Mérleg2019'!E59+'1.2.mell._HKÖH_Mérleg2019'!E59+'1.3.mell._HVÓBKI_Mérleg2019'!E59+'1.4.mell._HKK_Mérleg2019'!E59+'1.5._mell._MŐSZ_Mérleg2019'!E59+'1.6._mell._HVGYKCSSZ_Mérleg2019'!E59</f>
        <v>0</v>
      </c>
      <c r="F59" s="1560" t="str">
        <f t="shared" si="1"/>
        <v>-</v>
      </c>
      <c r="G59" s="34">
        <f>+'1.1.mell._ÖNK_Mérleg2019'!G59+'1.2.mell._HKÖH_Mérleg2019'!G59+'1.3.mell._HVÓBKI_Mérleg2019'!G59+'1.4.mell._HKK_Mérleg2019'!G59+'1.5._mell._MŐSZ_Mérleg2019'!G59+'1.6._mell._HVGYKCSSZ_Mérleg2019'!G59</f>
        <v>0</v>
      </c>
      <c r="H59" s="10">
        <f>+'1.1.mell._ÖNK_Mérleg2019'!H59+'1.2.mell._HKÖH_Mérleg2019'!H59+'1.3.mell._HVÓBKI_Mérleg2019'!H59+'1.4.mell._HKK_Mérleg2019'!H59+'1.5._mell._MŐSZ_Mérleg2019'!H59+'1.6._mell._HVGYKCSSZ_Mérleg2019'!H59</f>
        <v>0</v>
      </c>
      <c r="I59" s="35">
        <f>+'1.1.mell._ÖNK_Mérleg2019'!I59+'1.2.mell._HKÖH_Mérleg2019'!I59+'1.3.mell._HVÓBKI_Mérleg2019'!I59+'1.4.mell._HKK_Mérleg2019'!I59+'1.5._mell._MŐSZ_Mérleg2019'!I59+'1.6._mell._HVGYKCSSZ_Mérleg2019'!I59</f>
        <v>0</v>
      </c>
      <c r="M59" s="4">
        <f t="shared" si="2"/>
        <v>0</v>
      </c>
    </row>
    <row r="60" spans="1:13" ht="12.75" customHeight="1">
      <c r="A60" s="85" t="s">
        <v>67</v>
      </c>
      <c r="B60" s="67" t="s">
        <v>122</v>
      </c>
      <c r="C60" s="1137">
        <f>+'1.1.mell._ÖNK_Mérleg2019'!C60+'1.2.mell._HKÖH_Mérleg2019'!C60+'1.3.mell._HVÓBKI_Mérleg2019'!C60+'1.4.mell._HKK_Mérleg2019'!C60+'1.5._mell._MŐSZ_Mérleg2019'!C60+'1.6._mell._HVGYKCSSZ_Mérleg2019'!C60</f>
        <v>10350</v>
      </c>
      <c r="D60" s="1146">
        <f>+'1.1.mell._ÖNK_Mérleg2019'!D60+'1.2.mell._HKÖH_Mérleg2019'!D60+'1.3.mell._HVÓBKI_Mérleg2019'!D60+'1.4.mell._HKK_Mérleg2019'!D60+'1.5._mell._MŐSZ_Mérleg2019'!D60+'1.6._mell._HVGYKCSSZ_Mérleg2019'!D60</f>
        <v>4463</v>
      </c>
      <c r="E60" s="1146">
        <f>+'1.1.mell._ÖNK_Mérleg2019'!E60+'1.2.mell._HKÖH_Mérleg2019'!E60+'1.3.mell._HVÓBKI_Mérleg2019'!E60+'1.4.mell._HKK_Mérleg2019'!E60+'1.5._mell._MŐSZ_Mérleg2019'!E60+'1.6._mell._HVGYKCSSZ_Mérleg2019'!E60</f>
        <v>3607</v>
      </c>
      <c r="F60" s="1562">
        <f t="shared" si="1"/>
        <v>0.80820076181940403</v>
      </c>
      <c r="G60" s="20">
        <f>+'1.1.mell._ÖNK_Mérleg2019'!G60+'1.2.mell._HKÖH_Mérleg2019'!G60+'1.3.mell._HVÓBKI_Mérleg2019'!G60+'1.4.mell._HKK_Mérleg2019'!G60+'1.5._mell._MŐSZ_Mérleg2019'!G60+'1.6._mell._HVGYKCSSZ_Mérleg2019'!G60</f>
        <v>3607</v>
      </c>
      <c r="H60" s="11">
        <f>+'1.1.mell._ÖNK_Mérleg2019'!H60+'1.2.mell._HKÖH_Mérleg2019'!H60+'1.3.mell._HVÓBKI_Mérleg2019'!H60+'1.4.mell._HKK_Mérleg2019'!H60+'1.5._mell._MŐSZ_Mérleg2019'!H60+'1.6._mell._HVGYKCSSZ_Mérleg2019'!H60</f>
        <v>0</v>
      </c>
      <c r="I60" s="16">
        <f>+'1.1.mell._ÖNK_Mérleg2019'!I60+'1.2.mell._HKÖH_Mérleg2019'!I60+'1.3.mell._HVÓBKI_Mérleg2019'!I60+'1.4.mell._HKK_Mérleg2019'!I60+'1.5._mell._MŐSZ_Mérleg2019'!I60+'1.6._mell._HVGYKCSSZ_Mérleg2019'!I60</f>
        <v>0</v>
      </c>
      <c r="M60" s="4">
        <f t="shared" si="2"/>
        <v>0</v>
      </c>
    </row>
    <row r="61" spans="1:13" ht="12.75" customHeight="1">
      <c r="A61" s="85" t="s">
        <v>68</v>
      </c>
      <c r="B61" s="67" t="s">
        <v>123</v>
      </c>
      <c r="C61" s="1137">
        <f>+'1.1.mell._ÖNK_Mérleg2019'!C61+'1.2.mell._HKÖH_Mérleg2019'!C61+'1.3.mell._HVÓBKI_Mérleg2019'!C61+'1.4.mell._HKK_Mérleg2019'!C61+'1.5._mell._MŐSZ_Mérleg2019'!C61+'1.6._mell._HVGYKCSSZ_Mérleg2019'!C61</f>
        <v>0</v>
      </c>
      <c r="D61" s="1146">
        <f>+'1.1.mell._ÖNK_Mérleg2019'!D61+'1.2.mell._HKÖH_Mérleg2019'!D61+'1.3.mell._HVÓBKI_Mérleg2019'!D61+'1.4.mell._HKK_Mérleg2019'!D61+'1.5._mell._MŐSZ_Mérleg2019'!D61+'1.6._mell._HVGYKCSSZ_Mérleg2019'!D61</f>
        <v>415</v>
      </c>
      <c r="E61" s="1146">
        <f>+'1.1.mell._ÖNK_Mérleg2019'!E61+'1.2.mell._HKÖH_Mérleg2019'!E61+'1.3.mell._HVÓBKI_Mérleg2019'!E61+'1.4.mell._HKK_Mérleg2019'!E61+'1.5._mell._MŐSZ_Mérleg2019'!E61+'1.6._mell._HVGYKCSSZ_Mérleg2019'!E61</f>
        <v>415</v>
      </c>
      <c r="F61" s="1562">
        <f t="shared" si="1"/>
        <v>1</v>
      </c>
      <c r="G61" s="20">
        <f>+'1.1.mell._ÖNK_Mérleg2019'!G61+'1.2.mell._HKÖH_Mérleg2019'!G61+'1.3.mell._HVÓBKI_Mérleg2019'!G61+'1.4.mell._HKK_Mérleg2019'!G61+'1.5._mell._MŐSZ_Mérleg2019'!G61+'1.6._mell._HVGYKCSSZ_Mérleg2019'!G61</f>
        <v>415</v>
      </c>
      <c r="H61" s="11">
        <f>+'1.1.mell._ÖNK_Mérleg2019'!H61+'1.2.mell._HKÖH_Mérleg2019'!H61+'1.3.mell._HVÓBKI_Mérleg2019'!H61+'1.4.mell._HKK_Mérleg2019'!H61+'1.5._mell._MŐSZ_Mérleg2019'!H61+'1.6._mell._HVGYKCSSZ_Mérleg2019'!H61</f>
        <v>0</v>
      </c>
      <c r="I61" s="16">
        <f>+'1.1.mell._ÖNK_Mérleg2019'!I61+'1.2.mell._HKÖH_Mérleg2019'!I61+'1.3.mell._HVÓBKI_Mérleg2019'!I61+'1.4.mell._HKK_Mérleg2019'!I61+'1.5._mell._MŐSZ_Mérleg2019'!I61+'1.6._mell._HVGYKCSSZ_Mérleg2019'!I61</f>
        <v>0</v>
      </c>
      <c r="M61" s="4">
        <f t="shared" si="2"/>
        <v>0</v>
      </c>
    </row>
    <row r="62" spans="1:13" ht="12.75" customHeight="1">
      <c r="A62" s="85" t="s">
        <v>230</v>
      </c>
      <c r="B62" s="67" t="s">
        <v>124</v>
      </c>
      <c r="C62" s="1137">
        <f>+'1.1.mell._ÖNK_Mérleg2019'!C62+'1.2.mell._HKÖH_Mérleg2019'!C62+'1.3.mell._HVÓBKI_Mérleg2019'!C62+'1.4.mell._HKK_Mérleg2019'!C62+'1.5._mell._MŐSZ_Mérleg2019'!C62+'1.6._mell._HVGYKCSSZ_Mérleg2019'!C62</f>
        <v>0</v>
      </c>
      <c r="D62" s="1146">
        <f>+'1.1.mell._ÖNK_Mérleg2019'!D62+'1.2.mell._HKÖH_Mérleg2019'!D62+'1.3.mell._HVÓBKI_Mérleg2019'!D62+'1.4.mell._HKK_Mérleg2019'!D62+'1.5._mell._MŐSZ_Mérleg2019'!D62+'1.6._mell._HVGYKCSSZ_Mérleg2019'!D62</f>
        <v>0</v>
      </c>
      <c r="E62" s="1146">
        <f>+'1.1.mell._ÖNK_Mérleg2019'!E62+'1.2.mell._HKÖH_Mérleg2019'!E62+'1.3.mell._HVÓBKI_Mérleg2019'!E62+'1.4.mell._HKK_Mérleg2019'!E62+'1.5._mell._MŐSZ_Mérleg2019'!E62+'1.6._mell._HVGYKCSSZ_Mérleg2019'!E62</f>
        <v>0</v>
      </c>
      <c r="F62" s="1562" t="str">
        <f t="shared" si="1"/>
        <v>-</v>
      </c>
      <c r="G62" s="20">
        <f>+'1.1.mell._ÖNK_Mérleg2019'!G62+'1.2.mell._HKÖH_Mérleg2019'!G62+'1.3.mell._HVÓBKI_Mérleg2019'!G62+'1.4.mell._HKK_Mérleg2019'!G62+'1.5._mell._MŐSZ_Mérleg2019'!G62+'1.6._mell._HVGYKCSSZ_Mérleg2019'!G62</f>
        <v>0</v>
      </c>
      <c r="H62" s="11">
        <f>+'1.1.mell._ÖNK_Mérleg2019'!H62+'1.2.mell._HKÖH_Mérleg2019'!H62+'1.3.mell._HVÓBKI_Mérleg2019'!H62+'1.4.mell._HKK_Mérleg2019'!H62+'1.5._mell._MŐSZ_Mérleg2019'!H62+'1.6._mell._HVGYKCSSZ_Mérleg2019'!H62</f>
        <v>0</v>
      </c>
      <c r="I62" s="16">
        <f>+'1.1.mell._ÖNK_Mérleg2019'!I62+'1.2.mell._HKÖH_Mérleg2019'!I62+'1.3.mell._HVÓBKI_Mérleg2019'!I62+'1.4.mell._HKK_Mérleg2019'!I62+'1.5._mell._MŐSZ_Mérleg2019'!I62+'1.6._mell._HVGYKCSSZ_Mérleg2019'!I62</f>
        <v>0</v>
      </c>
      <c r="M62" s="4">
        <f t="shared" si="2"/>
        <v>0</v>
      </c>
    </row>
    <row r="63" spans="1:13" ht="12.75" customHeight="1" thickBot="1">
      <c r="A63" s="78" t="s">
        <v>231</v>
      </c>
      <c r="B63" s="68" t="s">
        <v>125</v>
      </c>
      <c r="C63" s="1138">
        <f>+'1.1.mell._ÖNK_Mérleg2019'!C63+'1.2.mell._HKÖH_Mérleg2019'!C63+'1.3.mell._HVÓBKI_Mérleg2019'!C63+'1.4.mell._HKK_Mérleg2019'!C63+'1.5._mell._MŐSZ_Mérleg2019'!C63+'1.6._mell._HVGYKCSSZ_Mérleg2019'!C63</f>
        <v>0</v>
      </c>
      <c r="D63" s="1147">
        <f>+'1.1.mell._ÖNK_Mérleg2019'!D63+'1.2.mell._HKÖH_Mérleg2019'!D63+'1.3.mell._HVÓBKI_Mérleg2019'!D63+'1.4.mell._HKK_Mérleg2019'!D63+'1.5._mell._MŐSZ_Mérleg2019'!D63+'1.6._mell._HVGYKCSSZ_Mérleg2019'!D63</f>
        <v>0</v>
      </c>
      <c r="E63" s="1147">
        <f>+'1.1.mell._ÖNK_Mérleg2019'!E63+'1.2.mell._HKÖH_Mérleg2019'!E63+'1.3.mell._HVÓBKI_Mérleg2019'!E63+'1.4.mell._HKK_Mérleg2019'!E63+'1.5._mell._MŐSZ_Mérleg2019'!E63+'1.6._mell._HVGYKCSSZ_Mérleg2019'!E63</f>
        <v>0</v>
      </c>
      <c r="F63" s="1561" t="str">
        <f t="shared" si="1"/>
        <v>-</v>
      </c>
      <c r="G63" s="21">
        <f>+'1.1.mell._ÖNK_Mérleg2019'!G63+'1.2.mell._HKÖH_Mérleg2019'!G63+'1.3.mell._HVÓBKI_Mérleg2019'!G63+'1.4.mell._HKK_Mérleg2019'!G63+'1.5._mell._MŐSZ_Mérleg2019'!G63+'1.6._mell._HVGYKCSSZ_Mérleg2019'!G63</f>
        <v>0</v>
      </c>
      <c r="H63" s="22">
        <f>+'1.1.mell._ÖNK_Mérleg2019'!H63+'1.2.mell._HKÖH_Mérleg2019'!H63+'1.3.mell._HVÓBKI_Mérleg2019'!H63+'1.4.mell._HKK_Mérleg2019'!H63+'1.5._mell._MŐSZ_Mérleg2019'!H63+'1.6._mell._HVGYKCSSZ_Mérleg2019'!H63</f>
        <v>0</v>
      </c>
      <c r="I63" s="23">
        <f>+'1.1.mell._ÖNK_Mérleg2019'!I63+'1.2.mell._HKÖH_Mérleg2019'!I63+'1.3.mell._HVÓBKI_Mérleg2019'!I63+'1.4.mell._HKK_Mérleg2019'!I63+'1.5._mell._MŐSZ_Mérleg2019'!I63+'1.6._mell._HVGYKCSSZ_Mérleg2019'!I63</f>
        <v>0</v>
      </c>
      <c r="M63" s="4">
        <f t="shared" si="2"/>
        <v>0</v>
      </c>
    </row>
    <row r="64" spans="1:13" s="3" customFormat="1" ht="12.75" thickBot="1">
      <c r="A64" s="83" t="s">
        <v>12</v>
      </c>
      <c r="B64" s="64" t="s">
        <v>911</v>
      </c>
      <c r="C64" s="1134">
        <f t="shared" ref="C64:E64" si="11">+C65+C66+C67+C68+C69</f>
        <v>1500</v>
      </c>
      <c r="D64" s="1143">
        <f t="shared" si="11"/>
        <v>6552</v>
      </c>
      <c r="E64" s="1143">
        <f t="shared" si="11"/>
        <v>838</v>
      </c>
      <c r="F64" s="1558">
        <f t="shared" si="1"/>
        <v>0.12789987789987789</v>
      </c>
      <c r="G64" s="27">
        <f>+G65+G66+G67+G68+G69</f>
        <v>0</v>
      </c>
      <c r="H64" s="28">
        <f>+H65+H66+H67+H68+H69</f>
        <v>838</v>
      </c>
      <c r="I64" s="29">
        <f>+I65+I66+I67+I68+I69</f>
        <v>0</v>
      </c>
      <c r="J64" s="628">
        <f>+C64/$C$102</f>
        <v>3.2444926359750644E-4</v>
      </c>
      <c r="K64" s="628">
        <f>+D64/$D$102</f>
        <v>9.8552369182710263E-4</v>
      </c>
      <c r="L64" s="628">
        <f>+E64/$E$102</f>
        <v>1.2981860560875243E-4</v>
      </c>
      <c r="M64" s="3">
        <f t="shared" si="2"/>
        <v>0</v>
      </c>
    </row>
    <row r="65" spans="1:13">
      <c r="A65" s="84" t="s">
        <v>69</v>
      </c>
      <c r="B65" s="65" t="s">
        <v>126</v>
      </c>
      <c r="C65" s="1135">
        <f>+'1.1.mell._ÖNK_Mérleg2019'!C65+'1.2.mell._HKÖH_Mérleg2019'!C65+'1.3.mell._HVÓBKI_Mérleg2019'!C65+'1.4.mell._HKK_Mérleg2019'!C65+'1.5._mell._MŐSZ_Mérleg2019'!C65+'1.6._mell._HVGYKCSSZ_Mérleg2019'!C65</f>
        <v>0</v>
      </c>
      <c r="D65" s="1144">
        <f>+'1.1.mell._ÖNK_Mérleg2019'!D65+'1.2.mell._HKÖH_Mérleg2019'!D65+'1.3.mell._HVÓBKI_Mérleg2019'!D65+'1.4.mell._HKK_Mérleg2019'!D65+'1.5._mell._MŐSZ_Mérleg2019'!D65+'1.6._mell._HVGYKCSSZ_Mérleg2019'!D65</f>
        <v>0</v>
      </c>
      <c r="E65" s="1144">
        <f>+'1.1.mell._ÖNK_Mérleg2019'!E65+'1.2.mell._HKÖH_Mérleg2019'!E65+'1.3.mell._HVÓBKI_Mérleg2019'!E65+'1.4.mell._HKK_Mérleg2019'!E65+'1.5._mell._MŐSZ_Mérleg2019'!E65+'1.6._mell._HVGYKCSSZ_Mérleg2019'!E65</f>
        <v>0</v>
      </c>
      <c r="F65" s="1560" t="str">
        <f t="shared" si="1"/>
        <v>-</v>
      </c>
      <c r="G65" s="34">
        <f>+'1.1.mell._ÖNK_Mérleg2019'!G65+'1.2.mell._HKÖH_Mérleg2019'!G65+'1.3.mell._HVÓBKI_Mérleg2019'!G65+'1.4.mell._HKK_Mérleg2019'!G65+'1.5._mell._MŐSZ_Mérleg2019'!G65+'1.6._mell._HVGYKCSSZ_Mérleg2019'!G65</f>
        <v>0</v>
      </c>
      <c r="H65" s="10">
        <f>+'1.1.mell._ÖNK_Mérleg2019'!H65+'1.2.mell._HKÖH_Mérleg2019'!H65+'1.3.mell._HVÓBKI_Mérleg2019'!H65+'1.4.mell._HKK_Mérleg2019'!H65+'1.5._mell._MŐSZ_Mérleg2019'!H65+'1.6._mell._HVGYKCSSZ_Mérleg2019'!H65</f>
        <v>0</v>
      </c>
      <c r="I65" s="35">
        <f>+'1.1.mell._ÖNK_Mérleg2019'!I65+'1.2.mell._HKÖH_Mérleg2019'!I65+'1.3.mell._HVÓBKI_Mérleg2019'!I65+'1.4.mell._HKK_Mérleg2019'!I65+'1.5._mell._MŐSZ_Mérleg2019'!I65+'1.6._mell._HVGYKCSSZ_Mérleg2019'!I65</f>
        <v>0</v>
      </c>
      <c r="M65" s="4">
        <f t="shared" si="2"/>
        <v>0</v>
      </c>
    </row>
    <row r="66" spans="1:13">
      <c r="A66" s="84" t="s">
        <v>70</v>
      </c>
      <c r="B66" s="65" t="s">
        <v>912</v>
      </c>
      <c r="C66" s="1135">
        <f>+'1.1.mell._ÖNK_Mérleg2019'!C66+'1.2.mell._HKÖH_Mérleg2019'!C66+'1.3.mell._HVÓBKI_Mérleg2019'!C66+'1.4.mell._HKK_Mérleg2019'!C66+'1.5._mell._MŐSZ_Mérleg2019'!C66+'1.6._mell._HVGYKCSSZ_Mérleg2019'!C66</f>
        <v>0</v>
      </c>
      <c r="D66" s="1144">
        <f>+'1.1.mell._ÖNK_Mérleg2019'!D66+'1.2.mell._HKÖH_Mérleg2019'!D66+'1.3.mell._HVÓBKI_Mérleg2019'!D66+'1.4.mell._HKK_Mérleg2019'!D66+'1.5._mell._MŐSZ_Mérleg2019'!D66+'1.6._mell._HVGYKCSSZ_Mérleg2019'!D66</f>
        <v>0</v>
      </c>
      <c r="E66" s="1144">
        <f>+'1.1.mell._ÖNK_Mérleg2019'!E66+'1.2.mell._HKÖH_Mérleg2019'!E66+'1.3.mell._HVÓBKI_Mérleg2019'!E66+'1.4.mell._HKK_Mérleg2019'!E66+'1.5._mell._MŐSZ_Mérleg2019'!E66+'1.6._mell._HVGYKCSSZ_Mérleg2019'!E66</f>
        <v>0</v>
      </c>
      <c r="F66" s="1560" t="str">
        <f t="shared" si="1"/>
        <v>-</v>
      </c>
      <c r="G66" s="34">
        <f>+'1.1.mell._ÖNK_Mérleg2019'!G66+'1.2.mell._HKÖH_Mérleg2019'!G66+'1.3.mell._HVÓBKI_Mérleg2019'!G66+'1.4.mell._HKK_Mérleg2019'!G66+'1.5._mell._MŐSZ_Mérleg2019'!G66+'1.6._mell._HVGYKCSSZ_Mérleg2019'!G66</f>
        <v>0</v>
      </c>
      <c r="H66" s="10">
        <f>+'1.1.mell._ÖNK_Mérleg2019'!H66+'1.2.mell._HKÖH_Mérleg2019'!H66+'1.3.mell._HVÓBKI_Mérleg2019'!H66+'1.4.mell._HKK_Mérleg2019'!H66+'1.5._mell._MŐSZ_Mérleg2019'!H66+'1.6._mell._HVGYKCSSZ_Mérleg2019'!H66</f>
        <v>0</v>
      </c>
      <c r="I66" s="35">
        <f>+'1.1.mell._ÖNK_Mérleg2019'!I66+'1.2.mell._HKÖH_Mérleg2019'!I66+'1.3.mell._HVÓBKI_Mérleg2019'!I66+'1.4.mell._HKK_Mérleg2019'!I66+'1.5._mell._MŐSZ_Mérleg2019'!I66+'1.6._mell._HVGYKCSSZ_Mérleg2019'!I66</f>
        <v>0</v>
      </c>
      <c r="M66" s="4">
        <f t="shared" si="2"/>
        <v>0</v>
      </c>
    </row>
    <row r="67" spans="1:13">
      <c r="A67" s="84" t="s">
        <v>71</v>
      </c>
      <c r="B67" s="65" t="s">
        <v>913</v>
      </c>
      <c r="C67" s="1135">
        <f>+'1.1.mell._ÖNK_Mérleg2019'!C67+'1.2.mell._HKÖH_Mérleg2019'!C67+'1.3.mell._HVÓBKI_Mérleg2019'!C67+'1.4.mell._HKK_Mérleg2019'!C67+'1.5._mell._MŐSZ_Mérleg2019'!C67+'1.6._mell._HVGYKCSSZ_Mérleg2019'!C67</f>
        <v>0</v>
      </c>
      <c r="D67" s="1144">
        <f>+'1.1.mell._ÖNK_Mérleg2019'!D67+'1.2.mell._HKÖH_Mérleg2019'!D67+'1.3.mell._HVÓBKI_Mérleg2019'!D67+'1.4.mell._HKK_Mérleg2019'!D67+'1.5._mell._MŐSZ_Mérleg2019'!D67+'1.6._mell._HVGYKCSSZ_Mérleg2019'!D67</f>
        <v>0</v>
      </c>
      <c r="E67" s="1144">
        <f>+'1.1.mell._ÖNK_Mérleg2019'!E67+'1.2.mell._HKÖH_Mérleg2019'!E67+'1.3.mell._HVÓBKI_Mérleg2019'!E67+'1.4.mell._HKK_Mérleg2019'!E67+'1.5._mell._MŐSZ_Mérleg2019'!E67+'1.6._mell._HVGYKCSSZ_Mérleg2019'!E67</f>
        <v>0</v>
      </c>
      <c r="F67" s="1560" t="str">
        <f t="shared" si="1"/>
        <v>-</v>
      </c>
      <c r="G67" s="34">
        <f>+'1.1.mell._ÖNK_Mérleg2019'!G67+'1.2.mell._HKÖH_Mérleg2019'!G67+'1.3.mell._HVÓBKI_Mérleg2019'!G67+'1.4.mell._HKK_Mérleg2019'!G67+'1.5._mell._MŐSZ_Mérleg2019'!G67+'1.6._mell._HVGYKCSSZ_Mérleg2019'!G67</f>
        <v>0</v>
      </c>
      <c r="H67" s="10">
        <f>+'1.1.mell._ÖNK_Mérleg2019'!H67+'1.2.mell._HKÖH_Mérleg2019'!H67+'1.3.mell._HVÓBKI_Mérleg2019'!H67+'1.4.mell._HKK_Mérleg2019'!H67+'1.5._mell._MŐSZ_Mérleg2019'!H67+'1.6._mell._HVGYKCSSZ_Mérleg2019'!H67</f>
        <v>0</v>
      </c>
      <c r="I67" s="35">
        <f>+'1.1.mell._ÖNK_Mérleg2019'!I67+'1.2.mell._HKÖH_Mérleg2019'!I67+'1.3.mell._HVÓBKI_Mérleg2019'!I67+'1.4.mell._HKK_Mérleg2019'!I67+'1.5._mell._MŐSZ_Mérleg2019'!I67+'1.6._mell._HVGYKCSSZ_Mérleg2019'!I67</f>
        <v>0</v>
      </c>
      <c r="M67" s="4">
        <f t="shared" si="2"/>
        <v>0</v>
      </c>
    </row>
    <row r="68" spans="1:13">
      <c r="A68" s="85" t="s">
        <v>72</v>
      </c>
      <c r="B68" s="67" t="s">
        <v>909</v>
      </c>
      <c r="C68" s="1137">
        <f>+'1.1.mell._ÖNK_Mérleg2019'!C68+'1.2.mell._HKÖH_Mérleg2019'!C68+'1.3.mell._HVÓBKI_Mérleg2019'!C68+'1.4.mell._HKK_Mérleg2019'!C68+'1.5._mell._MŐSZ_Mérleg2019'!C68+'1.6._mell._HVGYKCSSZ_Mérleg2019'!C68</f>
        <v>0</v>
      </c>
      <c r="D68" s="1146">
        <f>+'1.1.mell._ÖNK_Mérleg2019'!D68+'1.2.mell._HKÖH_Mérleg2019'!D68+'1.3.mell._HVÓBKI_Mérleg2019'!D68+'1.4.mell._HKK_Mérleg2019'!D68+'1.5._mell._MŐSZ_Mérleg2019'!D68+'1.6._mell._HVGYKCSSZ_Mérleg2019'!D68</f>
        <v>6517</v>
      </c>
      <c r="E68" s="1146">
        <f>+'1.1.mell._ÖNK_Mérleg2019'!E68+'1.2.mell._HKÖH_Mérleg2019'!E68+'1.3.mell._HVÓBKI_Mérleg2019'!E68+'1.4.mell._HKK_Mérleg2019'!E68+'1.5._mell._MŐSZ_Mérleg2019'!E68+'1.6._mell._HVGYKCSSZ_Mérleg2019'!E68</f>
        <v>838</v>
      </c>
      <c r="F68" s="1562">
        <f t="shared" si="1"/>
        <v>0.1285867730550867</v>
      </c>
      <c r="G68" s="20">
        <f>+'1.1.mell._ÖNK_Mérleg2019'!G68+'1.2.mell._HKÖH_Mérleg2019'!G68+'1.3.mell._HVÓBKI_Mérleg2019'!G68+'1.4.mell._HKK_Mérleg2019'!G68+'1.5._mell._MŐSZ_Mérleg2019'!G68+'1.6._mell._HVGYKCSSZ_Mérleg2019'!G68</f>
        <v>0</v>
      </c>
      <c r="H68" s="11">
        <f>+'1.1.mell._ÖNK_Mérleg2019'!H68+'1.2.mell._HKÖH_Mérleg2019'!H68+'1.3.mell._HVÓBKI_Mérleg2019'!H68+'1.4.mell._HKK_Mérleg2019'!H68+'1.5._mell._MŐSZ_Mérleg2019'!H68+'1.6._mell._HVGYKCSSZ_Mérleg2019'!H68</f>
        <v>838</v>
      </c>
      <c r="I68" s="16">
        <f>+'1.1.mell._ÖNK_Mérleg2019'!I68+'1.2.mell._HKÖH_Mérleg2019'!I68+'1.3.mell._HVÓBKI_Mérleg2019'!I68+'1.4.mell._HKK_Mérleg2019'!I68+'1.5._mell._MŐSZ_Mérleg2019'!I68+'1.6._mell._HVGYKCSSZ_Mérleg2019'!I68</f>
        <v>0</v>
      </c>
      <c r="M68" s="4">
        <f t="shared" si="2"/>
        <v>0</v>
      </c>
    </row>
    <row r="69" spans="1:13" ht="12.75" thickBot="1">
      <c r="A69" s="78" t="s">
        <v>908</v>
      </c>
      <c r="B69" s="68" t="s">
        <v>910</v>
      </c>
      <c r="C69" s="1138">
        <f>+'1.1.mell._ÖNK_Mérleg2019'!C69+'1.2.mell._HKÖH_Mérleg2019'!C69+'1.3.mell._HVÓBKI_Mérleg2019'!C69+'1.4.mell._HKK_Mérleg2019'!C69+'1.5._mell._MŐSZ_Mérleg2019'!C69+'1.6._mell._HVGYKCSSZ_Mérleg2019'!C69</f>
        <v>1500</v>
      </c>
      <c r="D69" s="1147">
        <f>+'1.1.mell._ÖNK_Mérleg2019'!D69+'1.2.mell._HKÖH_Mérleg2019'!D69+'1.3.mell._HVÓBKI_Mérleg2019'!D69+'1.4.mell._HKK_Mérleg2019'!D69+'1.5._mell._MŐSZ_Mérleg2019'!D69+'1.6._mell._HVGYKCSSZ_Mérleg2019'!D69</f>
        <v>35</v>
      </c>
      <c r="E69" s="1147">
        <f>+'1.1.mell._ÖNK_Mérleg2019'!E69+'1.2.mell._HKÖH_Mérleg2019'!E69+'1.3.mell._HVÓBKI_Mérleg2019'!E69+'1.4.mell._HKK_Mérleg2019'!E69+'1.5._mell._MŐSZ_Mérleg2019'!E69+'1.6._mell._HVGYKCSSZ_Mérleg2019'!E69</f>
        <v>0</v>
      </c>
      <c r="F69" s="1561">
        <f t="shared" si="1"/>
        <v>0</v>
      </c>
      <c r="G69" s="21">
        <f>+'1.1.mell._ÖNK_Mérleg2019'!G69+'1.2.mell._HKÖH_Mérleg2019'!G69+'1.3.mell._HVÓBKI_Mérleg2019'!G69+'1.4.mell._HKK_Mérleg2019'!G69+'1.5._mell._MŐSZ_Mérleg2019'!G69+'1.6._mell._HVGYKCSSZ_Mérleg2019'!G69</f>
        <v>0</v>
      </c>
      <c r="H69" s="22">
        <f>+'1.1.mell._ÖNK_Mérleg2019'!H69+'1.2.mell._HKÖH_Mérleg2019'!H69+'1.3.mell._HVÓBKI_Mérleg2019'!H69+'1.4.mell._HKK_Mérleg2019'!H69+'1.5._mell._MŐSZ_Mérleg2019'!H69+'1.6._mell._HVGYKCSSZ_Mérleg2019'!H69</f>
        <v>0</v>
      </c>
      <c r="I69" s="23">
        <f>+'1.1.mell._ÖNK_Mérleg2019'!I69+'1.2.mell._HKÖH_Mérleg2019'!I69+'1.3.mell._HVÓBKI_Mérleg2019'!I69+'1.4.mell._HKK_Mérleg2019'!I69+'1.5._mell._MŐSZ_Mérleg2019'!I69+'1.6._mell._HVGYKCSSZ_Mérleg2019'!I69</f>
        <v>0</v>
      </c>
      <c r="M69" s="4">
        <f t="shared" si="2"/>
        <v>0</v>
      </c>
    </row>
    <row r="70" spans="1:13" s="3" customFormat="1" ht="12.75" thickBot="1">
      <c r="A70" s="83" t="s">
        <v>11</v>
      </c>
      <c r="B70" s="69" t="s">
        <v>303</v>
      </c>
      <c r="C70" s="1134">
        <f t="shared" ref="C70:E70" si="12">+C10+C50</f>
        <v>1874448</v>
      </c>
      <c r="D70" s="1143">
        <f t="shared" si="12"/>
        <v>3451638</v>
      </c>
      <c r="E70" s="1143">
        <f t="shared" si="12"/>
        <v>3258557</v>
      </c>
      <c r="F70" s="1558">
        <f t="shared" si="1"/>
        <v>0.94406105159347531</v>
      </c>
      <c r="G70" s="27">
        <f>+G10+G50</f>
        <v>3224875</v>
      </c>
      <c r="H70" s="28">
        <f>+H10+H50</f>
        <v>27160</v>
      </c>
      <c r="I70" s="29">
        <f>+I10+I50</f>
        <v>6522</v>
      </c>
      <c r="J70" s="628">
        <f>+C70/$C$102</f>
        <v>0.40544218216787914</v>
      </c>
      <c r="K70" s="628">
        <f>+D70/$D$102</f>
        <v>0.51918055931176998</v>
      </c>
      <c r="L70" s="628">
        <f>+E70/$E$102</f>
        <v>0.50479871842081092</v>
      </c>
      <c r="M70" s="3">
        <f t="shared" si="2"/>
        <v>0</v>
      </c>
    </row>
    <row r="71" spans="1:13" s="3" customFormat="1" ht="12.75" thickBot="1">
      <c r="A71" s="83" t="s">
        <v>10</v>
      </c>
      <c r="B71" s="70" t="s">
        <v>304</v>
      </c>
      <c r="C71" s="1134">
        <f t="shared" ref="C71:E71" si="13">+C72</f>
        <v>2738772</v>
      </c>
      <c r="D71" s="1143">
        <f t="shared" si="13"/>
        <v>704310</v>
      </c>
      <c r="E71" s="1143">
        <f t="shared" si="13"/>
        <v>704310</v>
      </c>
      <c r="F71" s="1558">
        <f t="shared" si="1"/>
        <v>1</v>
      </c>
      <c r="G71" s="27">
        <f>+G72</f>
        <v>704295</v>
      </c>
      <c r="H71" s="28">
        <f>+H72</f>
        <v>15</v>
      </c>
      <c r="I71" s="29">
        <f>+I72</f>
        <v>0</v>
      </c>
      <c r="J71" s="628">
        <f>+C71/$C$102</f>
        <v>0.5923950390409799</v>
      </c>
      <c r="K71" s="628">
        <f>+D71/$D$102</f>
        <v>0.1059392844002971</v>
      </c>
      <c r="L71" s="628">
        <f>+E71/$E$102</f>
        <v>0.10910804548484539</v>
      </c>
      <c r="M71" s="3">
        <f t="shared" si="2"/>
        <v>0</v>
      </c>
    </row>
    <row r="72" spans="1:13" s="3" customFormat="1" ht="12.75" thickBot="1">
      <c r="A72" s="83" t="s">
        <v>9</v>
      </c>
      <c r="B72" s="64" t="s">
        <v>920</v>
      </c>
      <c r="C72" s="1134">
        <f t="shared" ref="C72:E72" si="14">+C73+C83+C84+C85</f>
        <v>2738772</v>
      </c>
      <c r="D72" s="1143">
        <f t="shared" si="14"/>
        <v>704310</v>
      </c>
      <c r="E72" s="1143">
        <f t="shared" si="14"/>
        <v>704310</v>
      </c>
      <c r="F72" s="1558">
        <f t="shared" si="1"/>
        <v>1</v>
      </c>
      <c r="G72" s="27">
        <f>+G73+G83+G84+G85</f>
        <v>704295</v>
      </c>
      <c r="H72" s="28">
        <f>+H73+H83+H84+H85</f>
        <v>15</v>
      </c>
      <c r="I72" s="29">
        <f>+I73+I83+I84+I85</f>
        <v>0</v>
      </c>
      <c r="J72" s="628">
        <f>+C72/$C$102</f>
        <v>0.5923950390409799</v>
      </c>
      <c r="K72" s="628">
        <f>+D72/$D$102</f>
        <v>0.1059392844002971</v>
      </c>
      <c r="L72" s="628">
        <f>+E72/$E$102</f>
        <v>0.10910804548484539</v>
      </c>
      <c r="M72" s="3">
        <f t="shared" si="2"/>
        <v>0</v>
      </c>
    </row>
    <row r="73" spans="1:13">
      <c r="A73" s="84" t="s">
        <v>73</v>
      </c>
      <c r="B73" s="65" t="s">
        <v>915</v>
      </c>
      <c r="C73" s="1135">
        <f t="shared" ref="C73:E73" si="15">+C74+C75+C76+C77+C78+C79+C80+C81+C82</f>
        <v>2738772</v>
      </c>
      <c r="D73" s="1144">
        <f t="shared" si="15"/>
        <v>704310</v>
      </c>
      <c r="E73" s="1144">
        <f t="shared" si="15"/>
        <v>704310</v>
      </c>
      <c r="F73" s="1560">
        <f t="shared" si="1"/>
        <v>1</v>
      </c>
      <c r="G73" s="34">
        <f>+G74+G75+G76+G77+G78+G79+G80+G81+G82</f>
        <v>704295</v>
      </c>
      <c r="H73" s="10">
        <f>+H74+H75+H76+H77+H78+H79+H80+H81+H82</f>
        <v>15</v>
      </c>
      <c r="I73" s="35">
        <f>+I74+I75+I76+I77+I78+I79+I80+I81+I82</f>
        <v>0</v>
      </c>
      <c r="M73" s="4">
        <f t="shared" si="2"/>
        <v>0</v>
      </c>
    </row>
    <row r="74" spans="1:13" s="13" customFormat="1">
      <c r="A74" s="86" t="s">
        <v>196</v>
      </c>
      <c r="B74" s="66" t="s">
        <v>914</v>
      </c>
      <c r="C74" s="1136">
        <f>+'1.1.mell._ÖNK_Mérleg2019'!C74+'1.2.mell._HKÖH_Mérleg2019'!C74+'1.3.mell._HVÓBKI_Mérleg2019'!C74+'1.4.mell._HKK_Mérleg2019'!C74+'1.5._mell._MŐSZ_Mérleg2019'!C74+'1.6._mell._HVGYKCSSZ_Mérleg2019'!C74</f>
        <v>0</v>
      </c>
      <c r="D74" s="1145">
        <f>+'1.1.mell._ÖNK_Mérleg2019'!D74+'1.2.mell._HKÖH_Mérleg2019'!D74+'1.3.mell._HVÓBKI_Mérleg2019'!D74+'1.4.mell._HKK_Mérleg2019'!D74+'1.5._mell._MŐSZ_Mérleg2019'!D74+'1.6._mell._HVGYKCSSZ_Mérleg2019'!D74</f>
        <v>65277</v>
      </c>
      <c r="E74" s="1145">
        <f>+'1.1.mell._ÖNK_Mérleg2019'!E74+'1.2.mell._HKÖH_Mérleg2019'!E74+'1.3.mell._HVÓBKI_Mérleg2019'!E74+'1.4.mell._HKK_Mérleg2019'!E74+'1.5._mell._MŐSZ_Mérleg2019'!E74+'1.6._mell._HVGYKCSSZ_Mérleg2019'!E74</f>
        <v>65277</v>
      </c>
      <c r="F74" s="1562">
        <f t="shared" ref="F74:F102" si="16">IF(ISERROR(E74/D74),"-",E74/D74)</f>
        <v>1</v>
      </c>
      <c r="G74" s="19">
        <f>+'1.1.mell._ÖNK_Mérleg2019'!G74+'1.2.mell._HKÖH_Mérleg2019'!G74+'1.3.mell._HVÓBKI_Mérleg2019'!G74+'1.4.mell._HKK_Mérleg2019'!G74+'1.5._mell._MŐSZ_Mérleg2019'!G74+'1.6._mell._HVGYKCSSZ_Mérleg2019'!G74</f>
        <v>65277</v>
      </c>
      <c r="H74" s="12">
        <f>+'1.1.mell._ÖNK_Mérleg2019'!H74+'1.2.mell._HKÖH_Mérleg2019'!H74+'1.3.mell._HVÓBKI_Mérleg2019'!H74+'1.4.mell._HKK_Mérleg2019'!H74+'1.5._mell._MŐSZ_Mérleg2019'!H74+'1.6._mell._HVGYKCSSZ_Mérleg2019'!H74</f>
        <v>0</v>
      </c>
      <c r="I74" s="15">
        <f>+'1.1.mell._ÖNK_Mérleg2019'!I74+'1.2.mell._HKÖH_Mérleg2019'!I74+'1.3.mell._HVÓBKI_Mérleg2019'!I74+'1.4.mell._HKK_Mérleg2019'!I74+'1.5._mell._MŐSZ_Mérleg2019'!I74+'1.6._mell._HVGYKCSSZ_Mérleg2019'!I74</f>
        <v>0</v>
      </c>
      <c r="M74" s="13">
        <f t="shared" ref="M74:M102" si="17">+E74-G74-H74-I74</f>
        <v>0</v>
      </c>
    </row>
    <row r="75" spans="1:13" s="13" customFormat="1">
      <c r="A75" s="86" t="s">
        <v>197</v>
      </c>
      <c r="B75" s="66" t="s">
        <v>247</v>
      </c>
      <c r="C75" s="1136">
        <f>+'1.1.mell._ÖNK_Mérleg2019'!C75+'1.2.mell._HKÖH_Mérleg2019'!C75+'1.3.mell._HVÓBKI_Mérleg2019'!C75+'1.4.mell._HKK_Mérleg2019'!C75+'1.5._mell._MŐSZ_Mérleg2019'!C75+'1.6._mell._HVGYKCSSZ_Mérleg2019'!C75</f>
        <v>0</v>
      </c>
      <c r="D75" s="1145">
        <f>+'1.1.mell._ÖNK_Mérleg2019'!D75+'1.2.mell._HKÖH_Mérleg2019'!D75+'1.3.mell._HVÓBKI_Mérleg2019'!D75+'1.4.mell._HKK_Mérleg2019'!D75+'1.5._mell._MŐSZ_Mérleg2019'!D75+'1.6._mell._HVGYKCSSZ_Mérleg2019'!D75</f>
        <v>0</v>
      </c>
      <c r="E75" s="1145">
        <f>+'1.1.mell._ÖNK_Mérleg2019'!E75+'1.2.mell._HKÖH_Mérleg2019'!E75+'1.3.mell._HVÓBKI_Mérleg2019'!E75+'1.4.mell._HKK_Mérleg2019'!E75+'1.5._mell._MŐSZ_Mérleg2019'!E75+'1.6._mell._HVGYKCSSZ_Mérleg2019'!E75</f>
        <v>0</v>
      </c>
      <c r="F75" s="1562" t="str">
        <f t="shared" si="16"/>
        <v>-</v>
      </c>
      <c r="G75" s="19">
        <f>+'1.1.mell._ÖNK_Mérleg2019'!G75+'1.2.mell._HKÖH_Mérleg2019'!G75+'1.3.mell._HVÓBKI_Mérleg2019'!G75+'1.4.mell._HKK_Mérleg2019'!G75+'1.5._mell._MŐSZ_Mérleg2019'!G75+'1.6._mell._HVGYKCSSZ_Mérleg2019'!G75</f>
        <v>0</v>
      </c>
      <c r="H75" s="12">
        <f>+'1.1.mell._ÖNK_Mérleg2019'!H75+'1.2.mell._HKÖH_Mérleg2019'!H75+'1.3.mell._HVÓBKI_Mérleg2019'!H75+'1.4.mell._HKK_Mérleg2019'!H75+'1.5._mell._MŐSZ_Mérleg2019'!H75+'1.6._mell._HVGYKCSSZ_Mérleg2019'!H75</f>
        <v>0</v>
      </c>
      <c r="I75" s="15">
        <f>+'1.1.mell._ÖNK_Mérleg2019'!I75+'1.2.mell._HKÖH_Mérleg2019'!I75+'1.3.mell._HVÓBKI_Mérleg2019'!I75+'1.4.mell._HKK_Mérleg2019'!I75+'1.5._mell._MŐSZ_Mérleg2019'!I75+'1.6._mell._HVGYKCSSZ_Mérleg2019'!I75</f>
        <v>0</v>
      </c>
      <c r="M75" s="13">
        <f t="shared" si="17"/>
        <v>0</v>
      </c>
    </row>
    <row r="76" spans="1:13" s="13" customFormat="1">
      <c r="A76" s="86" t="s">
        <v>198</v>
      </c>
      <c r="B76" s="66" t="s">
        <v>248</v>
      </c>
      <c r="C76" s="1136">
        <f>+'1.1.mell._ÖNK_Mérleg2019'!C76+'1.2.mell._HKÖH_Mérleg2019'!C76+'1.3.mell._HVÓBKI_Mérleg2019'!C76+'1.4.mell._HKK_Mérleg2019'!C76+'1.5._mell._MŐSZ_Mérleg2019'!C76+'1.6._mell._HVGYKCSSZ_Mérleg2019'!C76</f>
        <v>2738772</v>
      </c>
      <c r="D76" s="1145">
        <f>+'1.1.mell._ÖNK_Mérleg2019'!D76+'1.2.mell._HKÖH_Mérleg2019'!D76+'1.3.mell._HVÓBKI_Mérleg2019'!D76+'1.4.mell._HKK_Mérleg2019'!D76+'1.5._mell._MŐSZ_Mérleg2019'!D76+'1.6._mell._HVGYKCSSZ_Mérleg2019'!D76</f>
        <v>608587</v>
      </c>
      <c r="E76" s="1145">
        <f>+'1.1.mell._ÖNK_Mérleg2019'!E76+'1.2.mell._HKÖH_Mérleg2019'!E76+'1.3.mell._HVÓBKI_Mérleg2019'!E76+'1.4.mell._HKK_Mérleg2019'!E76+'1.5._mell._MŐSZ_Mérleg2019'!E76+'1.6._mell._HVGYKCSSZ_Mérleg2019'!E76</f>
        <v>608587</v>
      </c>
      <c r="F76" s="1562">
        <f t="shared" si="16"/>
        <v>1</v>
      </c>
      <c r="G76" s="19">
        <f>+'1.1.mell._ÖNK_Mérleg2019'!G76+'1.2.mell._HKÖH_Mérleg2019'!G76+'1.3.mell._HVÓBKI_Mérleg2019'!G76+'1.4.mell._HKK_Mérleg2019'!G76+'1.5._mell._MŐSZ_Mérleg2019'!G76+'1.6._mell._HVGYKCSSZ_Mérleg2019'!G76</f>
        <v>608572</v>
      </c>
      <c r="H76" s="12">
        <f>+'1.1.mell._ÖNK_Mérleg2019'!H76+'1.2.mell._HKÖH_Mérleg2019'!H76+'1.3.mell._HVÓBKI_Mérleg2019'!H76+'1.4.mell._HKK_Mérleg2019'!H76+'1.5._mell._MŐSZ_Mérleg2019'!H76+'1.6._mell._HVGYKCSSZ_Mérleg2019'!H76</f>
        <v>15</v>
      </c>
      <c r="I76" s="15">
        <f>+'1.1.mell._ÖNK_Mérleg2019'!I76+'1.2.mell._HKÖH_Mérleg2019'!I76+'1.3.mell._HVÓBKI_Mérleg2019'!I76+'1.4.mell._HKK_Mérleg2019'!I76+'1.5._mell._MŐSZ_Mérleg2019'!I76+'1.6._mell._HVGYKCSSZ_Mérleg2019'!I76</f>
        <v>0</v>
      </c>
      <c r="M76" s="13">
        <f t="shared" si="17"/>
        <v>0</v>
      </c>
    </row>
    <row r="77" spans="1:13" s="13" customFormat="1">
      <c r="A77" s="86" t="s">
        <v>199</v>
      </c>
      <c r="B77" s="66" t="s">
        <v>249</v>
      </c>
      <c r="C77" s="1136">
        <f>+'1.1.mell._ÖNK_Mérleg2019'!C77+'1.2.mell._HKÖH_Mérleg2019'!C77+'1.3.mell._HVÓBKI_Mérleg2019'!C77+'1.4.mell._HKK_Mérleg2019'!C77+'1.5._mell._MŐSZ_Mérleg2019'!C77+'1.6._mell._HVGYKCSSZ_Mérleg2019'!C77</f>
        <v>0</v>
      </c>
      <c r="D77" s="1145">
        <f>+'1.1.mell._ÖNK_Mérleg2019'!D77+'1.2.mell._HKÖH_Mérleg2019'!D77+'1.3.mell._HVÓBKI_Mérleg2019'!D77+'1.4.mell._HKK_Mérleg2019'!D77+'1.5._mell._MŐSZ_Mérleg2019'!D77+'1.6._mell._HVGYKCSSZ_Mérleg2019'!D77</f>
        <v>30446</v>
      </c>
      <c r="E77" s="1145">
        <f>+'1.1.mell._ÖNK_Mérleg2019'!E77+'1.2.mell._HKÖH_Mérleg2019'!E77+'1.3.mell._HVÓBKI_Mérleg2019'!E77+'1.4.mell._HKK_Mérleg2019'!E77+'1.5._mell._MŐSZ_Mérleg2019'!E77+'1.6._mell._HVGYKCSSZ_Mérleg2019'!E77</f>
        <v>30446</v>
      </c>
      <c r="F77" s="1562">
        <f t="shared" si="16"/>
        <v>1</v>
      </c>
      <c r="G77" s="19">
        <f>+'1.1.mell._ÖNK_Mérleg2019'!G77+'1.2.mell._HKÖH_Mérleg2019'!G77+'1.3.mell._HVÓBKI_Mérleg2019'!G77+'1.4.mell._HKK_Mérleg2019'!G77+'1.5._mell._MŐSZ_Mérleg2019'!G77+'1.6._mell._HVGYKCSSZ_Mérleg2019'!G77</f>
        <v>30446</v>
      </c>
      <c r="H77" s="12">
        <f>+'1.1.mell._ÖNK_Mérleg2019'!H77+'1.2.mell._HKÖH_Mérleg2019'!H77+'1.3.mell._HVÓBKI_Mérleg2019'!H77+'1.4.mell._HKK_Mérleg2019'!H77+'1.5._mell._MŐSZ_Mérleg2019'!H77+'1.6._mell._HVGYKCSSZ_Mérleg2019'!H77</f>
        <v>0</v>
      </c>
      <c r="I77" s="15">
        <f>+'1.1.mell._ÖNK_Mérleg2019'!I77+'1.2.mell._HKÖH_Mérleg2019'!I77+'1.3.mell._HVÓBKI_Mérleg2019'!I77+'1.4.mell._HKK_Mérleg2019'!I77+'1.5._mell._MŐSZ_Mérleg2019'!I77+'1.6._mell._HVGYKCSSZ_Mérleg2019'!I77</f>
        <v>0</v>
      </c>
      <c r="M77" s="13">
        <f t="shared" si="17"/>
        <v>0</v>
      </c>
    </row>
    <row r="78" spans="1:13" s="13" customFormat="1">
      <c r="A78" s="86" t="s">
        <v>200</v>
      </c>
      <c r="B78" s="66" t="s">
        <v>250</v>
      </c>
      <c r="C78" s="1136">
        <f>+'1.1.mell._ÖNK_Mérleg2019'!C78+'1.2.mell._HKÖH_Mérleg2019'!C78+'1.3.mell._HVÓBKI_Mérleg2019'!C78+'1.4.mell._HKK_Mérleg2019'!C78+'1.5._mell._MŐSZ_Mérleg2019'!C78+'1.6._mell._HVGYKCSSZ_Mérleg2019'!C78</f>
        <v>0</v>
      </c>
      <c r="D78" s="1145">
        <f>+'1.1.mell._ÖNK_Mérleg2019'!D78+'1.2.mell._HKÖH_Mérleg2019'!D78+'1.3.mell._HVÓBKI_Mérleg2019'!D78+'1.4.mell._HKK_Mérleg2019'!D78+'1.5._mell._MŐSZ_Mérleg2019'!D78+'1.6._mell._HVGYKCSSZ_Mérleg2019'!D78</f>
        <v>0</v>
      </c>
      <c r="E78" s="1145">
        <f>+'1.1.mell._ÖNK_Mérleg2019'!E78+'1.2.mell._HKÖH_Mérleg2019'!E78+'1.3.mell._HVÓBKI_Mérleg2019'!E78+'1.4.mell._HKK_Mérleg2019'!E78+'1.5._mell._MŐSZ_Mérleg2019'!E78+'1.6._mell._HVGYKCSSZ_Mérleg2019'!E78</f>
        <v>0</v>
      </c>
      <c r="F78" s="1562" t="str">
        <f t="shared" si="16"/>
        <v>-</v>
      </c>
      <c r="G78" s="19">
        <f>+'1.1.mell._ÖNK_Mérleg2019'!G78+'1.2.mell._HKÖH_Mérleg2019'!G78+'1.3.mell._HVÓBKI_Mérleg2019'!G78+'1.4.mell._HKK_Mérleg2019'!G78+'1.5._mell._MŐSZ_Mérleg2019'!G78+'1.6._mell._HVGYKCSSZ_Mérleg2019'!G78</f>
        <v>0</v>
      </c>
      <c r="H78" s="12">
        <f>+'1.1.mell._ÖNK_Mérleg2019'!H78+'1.2.mell._HKÖH_Mérleg2019'!H78+'1.3.mell._HVÓBKI_Mérleg2019'!H78+'1.4.mell._HKK_Mérleg2019'!H78+'1.5._mell._MŐSZ_Mérleg2019'!H78+'1.6._mell._HVGYKCSSZ_Mérleg2019'!H78</f>
        <v>0</v>
      </c>
      <c r="I78" s="15">
        <f>+'1.1.mell._ÖNK_Mérleg2019'!I78+'1.2.mell._HKÖH_Mérleg2019'!I78+'1.3.mell._HVÓBKI_Mérleg2019'!I78+'1.4.mell._HKK_Mérleg2019'!I78+'1.5._mell._MŐSZ_Mérleg2019'!I78+'1.6._mell._HVGYKCSSZ_Mérleg2019'!I78</f>
        <v>0</v>
      </c>
      <c r="M78" s="13">
        <f t="shared" si="17"/>
        <v>0</v>
      </c>
    </row>
    <row r="79" spans="1:13" s="13" customFormat="1">
      <c r="A79" s="103" t="s">
        <v>201</v>
      </c>
      <c r="B79" s="104" t="s">
        <v>251</v>
      </c>
      <c r="C79" s="1140"/>
      <c r="D79" s="1149"/>
      <c r="E79" s="1149"/>
      <c r="F79" s="1563" t="str">
        <f t="shared" si="16"/>
        <v>-</v>
      </c>
      <c r="G79" s="105"/>
      <c r="H79" s="106"/>
      <c r="I79" s="107"/>
      <c r="M79" s="117">
        <f t="shared" si="17"/>
        <v>0</v>
      </c>
    </row>
    <row r="80" spans="1:13" s="13" customFormat="1">
      <c r="A80" s="86" t="s">
        <v>204</v>
      </c>
      <c r="B80" s="66" t="s">
        <v>252</v>
      </c>
      <c r="C80" s="1136">
        <f>+'1.1.mell._ÖNK_Mérleg2019'!C80+'1.2.mell._HKÖH_Mérleg2019'!C80+'1.3.mell._HVÓBKI_Mérleg2019'!C80+'1.4.mell._HKK_Mérleg2019'!C80+'1.5._mell._MŐSZ_Mérleg2019'!C80+'1.6._mell._HVGYKCSSZ_Mérleg2019'!C80</f>
        <v>0</v>
      </c>
      <c r="D80" s="1145">
        <f>+'1.1.mell._ÖNK_Mérleg2019'!D80+'1.2.mell._HKÖH_Mérleg2019'!D80+'1.3.mell._HVÓBKI_Mérleg2019'!D80+'1.4.mell._HKK_Mérleg2019'!D80+'1.5._mell._MŐSZ_Mérleg2019'!D80+'1.6._mell._HVGYKCSSZ_Mérleg2019'!D80</f>
        <v>0</v>
      </c>
      <c r="E80" s="1145">
        <f>+'1.1.mell._ÖNK_Mérleg2019'!E80+'1.2.mell._HKÖH_Mérleg2019'!E80+'1.3.mell._HVÓBKI_Mérleg2019'!E80+'1.4.mell._HKK_Mérleg2019'!E80+'1.5._mell._MŐSZ_Mérleg2019'!E80+'1.6._mell._HVGYKCSSZ_Mérleg2019'!E80</f>
        <v>0</v>
      </c>
      <c r="F80" s="1562" t="str">
        <f t="shared" si="16"/>
        <v>-</v>
      </c>
      <c r="G80" s="19">
        <f>+'1.1.mell._ÖNK_Mérleg2019'!G80+'1.2.mell._HKÖH_Mérleg2019'!G80+'1.3.mell._HVÓBKI_Mérleg2019'!G80+'1.4.mell._HKK_Mérleg2019'!G80+'1.5._mell._MŐSZ_Mérleg2019'!G80+'1.6._mell._HVGYKCSSZ_Mérleg2019'!G80</f>
        <v>0</v>
      </c>
      <c r="H80" s="12">
        <f>+'1.1.mell._ÖNK_Mérleg2019'!H80+'1.2.mell._HKÖH_Mérleg2019'!H80+'1.3.mell._HVÓBKI_Mérleg2019'!H80+'1.4.mell._HKK_Mérleg2019'!H80+'1.5._mell._MŐSZ_Mérleg2019'!H80+'1.6._mell._HVGYKCSSZ_Mérleg2019'!H80</f>
        <v>0</v>
      </c>
      <c r="I80" s="15">
        <f>+'1.1.mell._ÖNK_Mérleg2019'!I80+'1.2.mell._HKÖH_Mérleg2019'!I80+'1.3.mell._HVÓBKI_Mérleg2019'!I80+'1.4.mell._HKK_Mérleg2019'!I80+'1.5._mell._MŐSZ_Mérleg2019'!I80+'1.6._mell._HVGYKCSSZ_Mérleg2019'!I80</f>
        <v>0</v>
      </c>
      <c r="M80" s="117">
        <f t="shared" si="17"/>
        <v>0</v>
      </c>
    </row>
    <row r="81" spans="1:13" s="13" customFormat="1">
      <c r="A81" s="86" t="s">
        <v>202</v>
      </c>
      <c r="B81" s="66" t="s">
        <v>245</v>
      </c>
      <c r="C81" s="1136">
        <f>+'1.1.mell._ÖNK_Mérleg2019'!C81+'1.2.mell._HKÖH_Mérleg2019'!C81+'1.3.mell._HVÓBKI_Mérleg2019'!C81+'1.4.mell._HKK_Mérleg2019'!C81+'1.5._mell._MŐSZ_Mérleg2019'!C81+'1.6._mell._HVGYKCSSZ_Mérleg2019'!C81</f>
        <v>0</v>
      </c>
      <c r="D81" s="1145">
        <f>+'1.1.mell._ÖNK_Mérleg2019'!D81+'1.2.mell._HKÖH_Mérleg2019'!D81+'1.3.mell._HVÓBKI_Mérleg2019'!D81+'1.4.mell._HKK_Mérleg2019'!D81+'1.5._mell._MŐSZ_Mérleg2019'!D81+'1.6._mell._HVGYKCSSZ_Mérleg2019'!D81</f>
        <v>0</v>
      </c>
      <c r="E81" s="1145">
        <f>+'1.1.mell._ÖNK_Mérleg2019'!E81+'1.2.mell._HKÖH_Mérleg2019'!E81+'1.3.mell._HVÓBKI_Mérleg2019'!E81+'1.4.mell._HKK_Mérleg2019'!E81+'1.5._mell._MŐSZ_Mérleg2019'!E81+'1.6._mell._HVGYKCSSZ_Mérleg2019'!E81</f>
        <v>0</v>
      </c>
      <c r="F81" s="1562" t="str">
        <f t="shared" si="16"/>
        <v>-</v>
      </c>
      <c r="G81" s="19">
        <f>+'1.1.mell._ÖNK_Mérleg2019'!G81+'1.2.mell._HKÖH_Mérleg2019'!G81+'1.3.mell._HVÓBKI_Mérleg2019'!G81+'1.4.mell._HKK_Mérleg2019'!G81+'1.5._mell._MŐSZ_Mérleg2019'!G81+'1.6._mell._HVGYKCSSZ_Mérleg2019'!G81</f>
        <v>0</v>
      </c>
      <c r="H81" s="12">
        <f>+'1.1.mell._ÖNK_Mérleg2019'!H81+'1.2.mell._HKÖH_Mérleg2019'!H81+'1.3.mell._HVÓBKI_Mérleg2019'!H81+'1.4.mell._HKK_Mérleg2019'!H81+'1.5._mell._MŐSZ_Mérleg2019'!H81+'1.6._mell._HVGYKCSSZ_Mérleg2019'!H81</f>
        <v>0</v>
      </c>
      <c r="I81" s="15">
        <f>+'1.1.mell._ÖNK_Mérleg2019'!I81+'1.2.mell._HKÖH_Mérleg2019'!I81+'1.3.mell._HVÓBKI_Mérleg2019'!I81+'1.4.mell._HKK_Mérleg2019'!I81+'1.5._mell._MŐSZ_Mérleg2019'!I81+'1.6._mell._HVGYKCSSZ_Mérleg2019'!I81</f>
        <v>0</v>
      </c>
      <c r="M81" s="117">
        <f t="shared" si="17"/>
        <v>0</v>
      </c>
    </row>
    <row r="82" spans="1:13" s="13" customFormat="1">
      <c r="A82" s="86" t="s">
        <v>916</v>
      </c>
      <c r="B82" s="66" t="s">
        <v>917</v>
      </c>
      <c r="C82" s="1136">
        <f>+'1.1.mell._ÖNK_Mérleg2019'!C82+'1.2.mell._HKÖH_Mérleg2019'!C82+'1.3.mell._HVÓBKI_Mérleg2019'!C82+'1.4.mell._HKK_Mérleg2019'!C82+'1.5._mell._MŐSZ_Mérleg2019'!C82+'1.6._mell._HVGYKCSSZ_Mérleg2019'!C82</f>
        <v>0</v>
      </c>
      <c r="D82" s="1145">
        <f>+'1.1.mell._ÖNK_Mérleg2019'!D82+'1.2.mell._HKÖH_Mérleg2019'!D82+'1.3.mell._HVÓBKI_Mérleg2019'!D82+'1.4.mell._HKK_Mérleg2019'!D82+'1.5._mell._MŐSZ_Mérleg2019'!D82+'1.6._mell._HVGYKCSSZ_Mérleg2019'!D82</f>
        <v>0</v>
      </c>
      <c r="E82" s="1145">
        <f>+'1.1.mell._ÖNK_Mérleg2019'!E82+'1.2.mell._HKÖH_Mérleg2019'!E82+'1.3.mell._HVÓBKI_Mérleg2019'!E82+'1.4.mell._HKK_Mérleg2019'!E82+'1.5._mell._MŐSZ_Mérleg2019'!E82+'1.6._mell._HVGYKCSSZ_Mérleg2019'!E82</f>
        <v>0</v>
      </c>
      <c r="F82" s="1562" t="str">
        <f t="shared" si="16"/>
        <v>-</v>
      </c>
      <c r="G82" s="19">
        <f>+'1.1.mell._ÖNK_Mérleg2019'!G82+'1.2.mell._HKÖH_Mérleg2019'!G82+'1.3.mell._HVÓBKI_Mérleg2019'!G82+'1.4.mell._HKK_Mérleg2019'!G82+'1.5._mell._MŐSZ_Mérleg2019'!G82+'1.6._mell._HVGYKCSSZ_Mérleg2019'!G82</f>
        <v>0</v>
      </c>
      <c r="H82" s="12">
        <f>+'1.1.mell._ÖNK_Mérleg2019'!H82+'1.2.mell._HKÖH_Mérleg2019'!H82+'1.3.mell._HVÓBKI_Mérleg2019'!H82+'1.4.mell._HKK_Mérleg2019'!H82+'1.5._mell._MŐSZ_Mérleg2019'!H82+'1.6._mell._HVGYKCSSZ_Mérleg2019'!H82</f>
        <v>0</v>
      </c>
      <c r="I82" s="15">
        <f>+'1.1.mell._ÖNK_Mérleg2019'!I82+'1.2.mell._HKÖH_Mérleg2019'!I82+'1.3.mell._HVÓBKI_Mérleg2019'!I82+'1.4.mell._HKK_Mérleg2019'!I82+'1.5._mell._MŐSZ_Mérleg2019'!I82+'1.6._mell._HVGYKCSSZ_Mérleg2019'!I82</f>
        <v>0</v>
      </c>
      <c r="M82" s="117">
        <f t="shared" si="17"/>
        <v>0</v>
      </c>
    </row>
    <row r="83" spans="1:13">
      <c r="A83" s="85" t="s">
        <v>74</v>
      </c>
      <c r="B83" s="67" t="s">
        <v>243</v>
      </c>
      <c r="C83" s="1137">
        <f>+'1.1.mell._ÖNK_Mérleg2019'!C83+'1.2.mell._HKÖH_Mérleg2019'!C83+'1.3.mell._HVÓBKI_Mérleg2019'!C83+'1.4.mell._HKK_Mérleg2019'!C83+'1.5._mell._MŐSZ_Mérleg2019'!C83+'1.6._mell._HVGYKCSSZ_Mérleg2019'!C83</f>
        <v>0</v>
      </c>
      <c r="D83" s="1146">
        <f>+'1.1.mell._ÖNK_Mérleg2019'!D83+'1.2.mell._HKÖH_Mérleg2019'!D83+'1.3.mell._HVÓBKI_Mérleg2019'!D83+'1.4.mell._HKK_Mérleg2019'!D83+'1.5._mell._MŐSZ_Mérleg2019'!D83+'1.6._mell._HVGYKCSSZ_Mérleg2019'!D83</f>
        <v>0</v>
      </c>
      <c r="E83" s="1146">
        <f>+'1.1.mell._ÖNK_Mérleg2019'!E83+'1.2.mell._HKÖH_Mérleg2019'!E83+'1.3.mell._HVÓBKI_Mérleg2019'!E83+'1.4.mell._HKK_Mérleg2019'!E83+'1.5._mell._MŐSZ_Mérleg2019'!E83+'1.6._mell._HVGYKCSSZ_Mérleg2019'!E83</f>
        <v>0</v>
      </c>
      <c r="F83" s="1562" t="str">
        <f t="shared" si="16"/>
        <v>-</v>
      </c>
      <c r="G83" s="20">
        <f>+'1.1.mell._ÖNK_Mérleg2019'!G83+'1.2.mell._HKÖH_Mérleg2019'!G83+'1.3.mell._HVÓBKI_Mérleg2019'!G83+'1.4.mell._HKK_Mérleg2019'!G83+'1.5._mell._MŐSZ_Mérleg2019'!G83+'1.6._mell._HVGYKCSSZ_Mérleg2019'!G83</f>
        <v>0</v>
      </c>
      <c r="H83" s="11">
        <f>+'1.1.mell._ÖNK_Mérleg2019'!H83+'1.2.mell._HKÖH_Mérleg2019'!H83+'1.3.mell._HVÓBKI_Mérleg2019'!H83+'1.4.mell._HKK_Mérleg2019'!H83+'1.5._mell._MŐSZ_Mérleg2019'!H83+'1.6._mell._HVGYKCSSZ_Mérleg2019'!H83</f>
        <v>0</v>
      </c>
      <c r="I83" s="16">
        <f>+'1.1.mell._ÖNK_Mérleg2019'!I83+'1.2.mell._HKÖH_Mérleg2019'!I83+'1.3.mell._HVÓBKI_Mérleg2019'!I83+'1.4.mell._HKK_Mérleg2019'!I83+'1.5._mell._MŐSZ_Mérleg2019'!I83+'1.6._mell._HVGYKCSSZ_Mérleg2019'!I83</f>
        <v>0</v>
      </c>
      <c r="M83" s="118">
        <f t="shared" si="17"/>
        <v>0</v>
      </c>
    </row>
    <row r="84" spans="1:13">
      <c r="A84" s="78" t="s">
        <v>203</v>
      </c>
      <c r="B84" s="68" t="s">
        <v>244</v>
      </c>
      <c r="C84" s="1138">
        <f>+'1.1.mell._ÖNK_Mérleg2019'!C84+'1.2.mell._HKÖH_Mérleg2019'!C84+'1.3.mell._HVÓBKI_Mérleg2019'!C84+'1.4.mell._HKK_Mérleg2019'!C84+'1.5._mell._MŐSZ_Mérleg2019'!C84+'1.6._mell._HVGYKCSSZ_Mérleg2019'!C84</f>
        <v>0</v>
      </c>
      <c r="D84" s="1147">
        <f>+'1.1.mell._ÖNK_Mérleg2019'!D84+'1.2.mell._HKÖH_Mérleg2019'!D84+'1.3.mell._HVÓBKI_Mérleg2019'!D84+'1.4.mell._HKK_Mérleg2019'!D84+'1.5._mell._MŐSZ_Mérleg2019'!D84+'1.6._mell._HVGYKCSSZ_Mérleg2019'!D84</f>
        <v>0</v>
      </c>
      <c r="E84" s="1147">
        <f>+'1.1.mell._ÖNK_Mérleg2019'!E84+'1.2.mell._HKÖH_Mérleg2019'!E84+'1.3.mell._HVÓBKI_Mérleg2019'!E84+'1.4.mell._HKK_Mérleg2019'!E84+'1.5._mell._MŐSZ_Mérleg2019'!E84+'1.6._mell._HVGYKCSSZ_Mérleg2019'!E84</f>
        <v>0</v>
      </c>
      <c r="F84" s="1561" t="str">
        <f t="shared" si="16"/>
        <v>-</v>
      </c>
      <c r="G84" s="21">
        <f>+'1.1.mell._ÖNK_Mérleg2019'!G84+'1.2.mell._HKÖH_Mérleg2019'!G84+'1.3.mell._HVÓBKI_Mérleg2019'!G84+'1.4.mell._HKK_Mérleg2019'!G84+'1.5._mell._MŐSZ_Mérleg2019'!G84+'1.6._mell._HVGYKCSSZ_Mérleg2019'!G84</f>
        <v>0</v>
      </c>
      <c r="H84" s="22">
        <f>+'1.1.mell._ÖNK_Mérleg2019'!H84+'1.2.mell._HKÖH_Mérleg2019'!H84+'1.3.mell._HVÓBKI_Mérleg2019'!H84+'1.4.mell._HKK_Mérleg2019'!H84+'1.5._mell._MŐSZ_Mérleg2019'!H84+'1.6._mell._HVGYKCSSZ_Mérleg2019'!H84</f>
        <v>0</v>
      </c>
      <c r="I84" s="23">
        <f>+'1.1.mell._ÖNK_Mérleg2019'!I84+'1.2.mell._HKÖH_Mérleg2019'!I84+'1.3.mell._HVÓBKI_Mérleg2019'!I84+'1.4.mell._HKK_Mérleg2019'!I84+'1.5._mell._MŐSZ_Mérleg2019'!I84+'1.6._mell._HVGYKCSSZ_Mérleg2019'!I84</f>
        <v>0</v>
      </c>
      <c r="M84" s="118">
        <f t="shared" si="17"/>
        <v>0</v>
      </c>
    </row>
    <row r="85" spans="1:13" ht="12.75" thickBot="1">
      <c r="A85" s="78" t="s">
        <v>918</v>
      </c>
      <c r="B85" s="68" t="s">
        <v>919</v>
      </c>
      <c r="C85" s="1138">
        <f>+'1.1.mell._ÖNK_Mérleg2019'!C85+'1.2.mell._HKÖH_Mérleg2019'!C85+'1.3.mell._HVÓBKI_Mérleg2019'!C85+'1.4.mell._HKK_Mérleg2019'!C85+'1.5._mell._MŐSZ_Mérleg2019'!C85+'1.6._mell._HVGYKCSSZ_Mérleg2019'!C85</f>
        <v>0</v>
      </c>
      <c r="D85" s="1147">
        <f>+'1.1.mell._ÖNK_Mérleg2019'!D85+'1.2.mell._HKÖH_Mérleg2019'!D85+'1.3.mell._HVÓBKI_Mérleg2019'!D85+'1.4.mell._HKK_Mérleg2019'!D85+'1.5._mell._MŐSZ_Mérleg2019'!D85+'1.6._mell._HVGYKCSSZ_Mérleg2019'!D85</f>
        <v>0</v>
      </c>
      <c r="E85" s="1147">
        <f>+'1.1.mell._ÖNK_Mérleg2019'!E85+'1.2.mell._HKÖH_Mérleg2019'!E85+'1.3.mell._HVÓBKI_Mérleg2019'!E85+'1.4.mell._HKK_Mérleg2019'!E85+'1.5._mell._MŐSZ_Mérleg2019'!E85+'1.6._mell._HVGYKCSSZ_Mérleg2019'!E85</f>
        <v>0</v>
      </c>
      <c r="F85" s="1561" t="str">
        <f t="shared" si="16"/>
        <v>-</v>
      </c>
      <c r="G85" s="21">
        <f>+'1.1.mell._ÖNK_Mérleg2019'!G85+'1.2.mell._HKÖH_Mérleg2019'!G85+'1.3.mell._HVÓBKI_Mérleg2019'!G85+'1.4.mell._HKK_Mérleg2019'!G85+'1.5._mell._MŐSZ_Mérleg2019'!G85+'1.6._mell._HVGYKCSSZ_Mérleg2019'!G85</f>
        <v>0</v>
      </c>
      <c r="H85" s="22">
        <f>+'1.1.mell._ÖNK_Mérleg2019'!H85+'1.2.mell._HKÖH_Mérleg2019'!H85+'1.3.mell._HVÓBKI_Mérleg2019'!H85+'1.4.mell._HKK_Mérleg2019'!H85+'1.5._mell._MŐSZ_Mérleg2019'!H85+'1.6._mell._HVGYKCSSZ_Mérleg2019'!H85</f>
        <v>0</v>
      </c>
      <c r="I85" s="23">
        <f>+'1.1.mell._ÖNK_Mérleg2019'!I85+'1.2.mell._HKÖH_Mérleg2019'!I85+'1.3.mell._HVÓBKI_Mérleg2019'!I85+'1.4.mell._HKK_Mérleg2019'!I85+'1.5._mell._MŐSZ_Mérleg2019'!I85+'1.6._mell._HVGYKCSSZ_Mérleg2019'!I85</f>
        <v>0</v>
      </c>
      <c r="M85" s="118">
        <f t="shared" si="17"/>
        <v>0</v>
      </c>
    </row>
    <row r="86" spans="1:13" s="3" customFormat="1" ht="12.75" thickBot="1">
      <c r="A86" s="83" t="s">
        <v>45</v>
      </c>
      <c r="B86" s="70" t="s">
        <v>305</v>
      </c>
      <c r="C86" s="1134">
        <f t="shared" ref="C86:E86" si="18">+C87</f>
        <v>9999</v>
      </c>
      <c r="D86" s="1143">
        <f t="shared" si="18"/>
        <v>2492294</v>
      </c>
      <c r="E86" s="1143">
        <f t="shared" si="18"/>
        <v>2492294</v>
      </c>
      <c r="F86" s="1558">
        <f t="shared" si="16"/>
        <v>1</v>
      </c>
      <c r="G86" s="27">
        <f>+G87</f>
        <v>2492294</v>
      </c>
      <c r="H86" s="28">
        <f>+H87</f>
        <v>0</v>
      </c>
      <c r="I86" s="29">
        <f>+I87</f>
        <v>0</v>
      </c>
      <c r="J86" s="628">
        <f>+C86/$C$102</f>
        <v>2.1627787911409776E-3</v>
      </c>
      <c r="K86" s="628">
        <f>+D86/$D$102</f>
        <v>0.37488015628793298</v>
      </c>
      <c r="L86" s="628">
        <f>+E86/$E$102</f>
        <v>0.38609323609434376</v>
      </c>
      <c r="M86" s="119">
        <f t="shared" si="17"/>
        <v>0</v>
      </c>
    </row>
    <row r="87" spans="1:13" s="3" customFormat="1" ht="12.75" thickBot="1">
      <c r="A87" s="83" t="s">
        <v>44</v>
      </c>
      <c r="B87" s="64" t="s">
        <v>922</v>
      </c>
      <c r="C87" s="1134">
        <f t="shared" ref="C87:E87" si="19">+C88+C98+C99+C100</f>
        <v>9999</v>
      </c>
      <c r="D87" s="1143">
        <f t="shared" si="19"/>
        <v>2492294</v>
      </c>
      <c r="E87" s="1143">
        <f t="shared" si="19"/>
        <v>2492294</v>
      </c>
      <c r="F87" s="1558">
        <f t="shared" si="16"/>
        <v>1</v>
      </c>
      <c r="G87" s="27">
        <f>+G88+G98+G99+G100</f>
        <v>2492294</v>
      </c>
      <c r="H87" s="28">
        <f>+H88+H98+H99+H100</f>
        <v>0</v>
      </c>
      <c r="I87" s="29">
        <f>+I88+I98+I99+I100</f>
        <v>0</v>
      </c>
      <c r="J87" s="628">
        <f>+C87/$C$102</f>
        <v>2.1627787911409776E-3</v>
      </c>
      <c r="K87" s="628">
        <f>+D87/$D$102</f>
        <v>0.37488015628793298</v>
      </c>
      <c r="L87" s="628">
        <f>+E87/$E$102</f>
        <v>0.38609323609434376</v>
      </c>
      <c r="M87" s="119">
        <f t="shared" si="17"/>
        <v>0</v>
      </c>
    </row>
    <row r="88" spans="1:13">
      <c r="A88" s="84" t="s">
        <v>232</v>
      </c>
      <c r="B88" s="65" t="s">
        <v>977</v>
      </c>
      <c r="C88" s="1135">
        <f t="shared" ref="C88:E88" si="20">+C89+C90+C91+C92+C93+C94+C95+C96+C97</f>
        <v>9999</v>
      </c>
      <c r="D88" s="1144">
        <f t="shared" si="20"/>
        <v>2492294</v>
      </c>
      <c r="E88" s="1144">
        <f t="shared" si="20"/>
        <v>2492294</v>
      </c>
      <c r="F88" s="1560">
        <f t="shared" si="16"/>
        <v>1</v>
      </c>
      <c r="G88" s="34">
        <f>+G89+G90+G91+G92+G93+G94+G95+G96+G97</f>
        <v>2492294</v>
      </c>
      <c r="H88" s="10">
        <f>+H89+H90+H91+H92+H93+H94+H95+H96+H97</f>
        <v>0</v>
      </c>
      <c r="I88" s="35">
        <f>+I89+I90+I91+I92+I93+I94+I95+I96+I97</f>
        <v>0</v>
      </c>
      <c r="M88" s="118">
        <f t="shared" si="17"/>
        <v>0</v>
      </c>
    </row>
    <row r="89" spans="1:13" s="13" customFormat="1">
      <c r="A89" s="86" t="s">
        <v>233</v>
      </c>
      <c r="B89" s="66" t="s">
        <v>914</v>
      </c>
      <c r="C89" s="1136">
        <f>+'1.1.mell._ÖNK_Mérleg2019'!C89+'1.2.mell._HKÖH_Mérleg2019'!C89+'1.3.mell._HVÓBKI_Mérleg2019'!C89+'1.4.mell._HKK_Mérleg2019'!C89+'1.5._mell._MŐSZ_Mérleg2019'!C89+'1.6._mell._HVGYKCSSZ_Mérleg2019'!C89</f>
        <v>9999</v>
      </c>
      <c r="D89" s="1145">
        <f>+'1.1.mell._ÖNK_Mérleg2019'!D89+'1.2.mell._HKÖH_Mérleg2019'!D89+'1.3.mell._HVÓBKI_Mérleg2019'!D89+'1.4.mell._HKK_Mérleg2019'!D89+'1.5._mell._MŐSZ_Mérleg2019'!D89+'1.6._mell._HVGYKCSSZ_Mérleg2019'!D89</f>
        <v>0</v>
      </c>
      <c r="E89" s="1145">
        <f>+'1.1.mell._ÖNK_Mérleg2019'!E89+'1.2.mell._HKÖH_Mérleg2019'!E89+'1.3.mell._HVÓBKI_Mérleg2019'!E89+'1.4.mell._HKK_Mérleg2019'!E89+'1.5._mell._MŐSZ_Mérleg2019'!E89+'1.6._mell._HVGYKCSSZ_Mérleg2019'!E89</f>
        <v>0</v>
      </c>
      <c r="F89" s="1562" t="str">
        <f t="shared" si="16"/>
        <v>-</v>
      </c>
      <c r="G89" s="19">
        <f>+'1.1.mell._ÖNK_Mérleg2019'!G89+'1.2.mell._HKÖH_Mérleg2019'!G89+'1.3.mell._HVÓBKI_Mérleg2019'!G89+'1.4.mell._HKK_Mérleg2019'!G89+'1.5._mell._MŐSZ_Mérleg2019'!G89+'1.6._mell._HVGYKCSSZ_Mérleg2019'!G89</f>
        <v>0</v>
      </c>
      <c r="H89" s="12">
        <f>+'1.1.mell._ÖNK_Mérleg2019'!H89+'1.2.mell._HKÖH_Mérleg2019'!H89+'1.3.mell._HVÓBKI_Mérleg2019'!H89+'1.4.mell._HKK_Mérleg2019'!H89+'1.5._mell._MŐSZ_Mérleg2019'!H89+'1.6._mell._HVGYKCSSZ_Mérleg2019'!H89</f>
        <v>0</v>
      </c>
      <c r="I89" s="15">
        <f>+'1.1.mell._ÖNK_Mérleg2019'!I89+'1.2.mell._HKÖH_Mérleg2019'!I89+'1.3.mell._HVÓBKI_Mérleg2019'!I89+'1.4.mell._HKK_Mérleg2019'!I89+'1.5._mell._MŐSZ_Mérleg2019'!I89+'1.6._mell._HVGYKCSSZ_Mérleg2019'!I89</f>
        <v>0</v>
      </c>
      <c r="M89" s="117">
        <f t="shared" si="17"/>
        <v>0</v>
      </c>
    </row>
    <row r="90" spans="1:13" s="13" customFormat="1">
      <c r="A90" s="86" t="s">
        <v>234</v>
      </c>
      <c r="B90" s="66" t="s">
        <v>247</v>
      </c>
      <c r="C90" s="1136">
        <f>+'1.1.mell._ÖNK_Mérleg2019'!C90+'1.2.mell._HKÖH_Mérleg2019'!C90+'1.3.mell._HVÓBKI_Mérleg2019'!C90+'1.4.mell._HKK_Mérleg2019'!C90+'1.5._mell._MŐSZ_Mérleg2019'!C90+'1.6._mell._HVGYKCSSZ_Mérleg2019'!C90</f>
        <v>0</v>
      </c>
      <c r="D90" s="1145">
        <f>+'1.1.mell._ÖNK_Mérleg2019'!D90+'1.2.mell._HKÖH_Mérleg2019'!D90+'1.3.mell._HVÓBKI_Mérleg2019'!D90+'1.4.mell._HKK_Mérleg2019'!D90+'1.5._mell._MŐSZ_Mérleg2019'!D90+'1.6._mell._HVGYKCSSZ_Mérleg2019'!D90</f>
        <v>0</v>
      </c>
      <c r="E90" s="1145">
        <f>+'1.1.mell._ÖNK_Mérleg2019'!E90+'1.2.mell._HKÖH_Mérleg2019'!E90+'1.3.mell._HVÓBKI_Mérleg2019'!E90+'1.4.mell._HKK_Mérleg2019'!E90+'1.5._mell._MŐSZ_Mérleg2019'!E90+'1.6._mell._HVGYKCSSZ_Mérleg2019'!E90</f>
        <v>0</v>
      </c>
      <c r="F90" s="1562" t="str">
        <f t="shared" si="16"/>
        <v>-</v>
      </c>
      <c r="G90" s="19">
        <f>+'1.1.mell._ÖNK_Mérleg2019'!G90+'1.2.mell._HKÖH_Mérleg2019'!G90+'1.3.mell._HVÓBKI_Mérleg2019'!G90+'1.4.mell._HKK_Mérleg2019'!G90+'1.5._mell._MŐSZ_Mérleg2019'!G90+'1.6._mell._HVGYKCSSZ_Mérleg2019'!G90</f>
        <v>0</v>
      </c>
      <c r="H90" s="12">
        <f>+'1.1.mell._ÖNK_Mérleg2019'!H90+'1.2.mell._HKÖH_Mérleg2019'!H90+'1.3.mell._HVÓBKI_Mérleg2019'!H90+'1.4.mell._HKK_Mérleg2019'!H90+'1.5._mell._MŐSZ_Mérleg2019'!H90+'1.6._mell._HVGYKCSSZ_Mérleg2019'!H90</f>
        <v>0</v>
      </c>
      <c r="I90" s="15">
        <f>+'1.1.mell._ÖNK_Mérleg2019'!I90+'1.2.mell._HKÖH_Mérleg2019'!I90+'1.3.mell._HVÓBKI_Mérleg2019'!I90+'1.4.mell._HKK_Mérleg2019'!I90+'1.5._mell._MŐSZ_Mérleg2019'!I90+'1.6._mell._HVGYKCSSZ_Mérleg2019'!I90</f>
        <v>0</v>
      </c>
      <c r="M90" s="117">
        <f t="shared" si="17"/>
        <v>0</v>
      </c>
    </row>
    <row r="91" spans="1:13" s="13" customFormat="1">
      <c r="A91" s="86" t="s">
        <v>235</v>
      </c>
      <c r="B91" s="66" t="s">
        <v>248</v>
      </c>
      <c r="C91" s="1136">
        <f>+'1.1.mell._ÖNK_Mérleg2019'!C91+'1.2.mell._HKÖH_Mérleg2019'!C91+'1.3.mell._HVÓBKI_Mérleg2019'!C91+'1.4.mell._HKK_Mérleg2019'!C91+'1.5._mell._MŐSZ_Mérleg2019'!C91+'1.6._mell._HVGYKCSSZ_Mérleg2019'!C91</f>
        <v>0</v>
      </c>
      <c r="D91" s="1145">
        <f>+'1.1.mell._ÖNK_Mérleg2019'!D91+'1.2.mell._HKÖH_Mérleg2019'!D91+'1.3.mell._HVÓBKI_Mérleg2019'!D91+'1.4.mell._HKK_Mérleg2019'!D91+'1.5._mell._MŐSZ_Mérleg2019'!D91+'1.6._mell._HVGYKCSSZ_Mérleg2019'!D91</f>
        <v>2492294</v>
      </c>
      <c r="E91" s="1145">
        <f>+'1.1.mell._ÖNK_Mérleg2019'!E91+'1.2.mell._HKÖH_Mérleg2019'!E91+'1.3.mell._HVÓBKI_Mérleg2019'!E91+'1.4.mell._HKK_Mérleg2019'!E91+'1.5._mell._MŐSZ_Mérleg2019'!E91+'1.6._mell._HVGYKCSSZ_Mérleg2019'!E91</f>
        <v>2492294</v>
      </c>
      <c r="F91" s="1562">
        <f t="shared" si="16"/>
        <v>1</v>
      </c>
      <c r="G91" s="19">
        <f>+'1.1.mell._ÖNK_Mérleg2019'!G91+'1.2.mell._HKÖH_Mérleg2019'!G91+'1.3.mell._HVÓBKI_Mérleg2019'!G91+'1.4.mell._HKK_Mérleg2019'!G91+'1.5._mell._MŐSZ_Mérleg2019'!G91+'1.6._mell._HVGYKCSSZ_Mérleg2019'!G91</f>
        <v>2492294</v>
      </c>
      <c r="H91" s="12">
        <f>+'1.1.mell._ÖNK_Mérleg2019'!H91+'1.2.mell._HKÖH_Mérleg2019'!H91+'1.3.mell._HVÓBKI_Mérleg2019'!H91+'1.4.mell._HKK_Mérleg2019'!H91+'1.5._mell._MŐSZ_Mérleg2019'!H91+'1.6._mell._HVGYKCSSZ_Mérleg2019'!H91</f>
        <v>0</v>
      </c>
      <c r="I91" s="15">
        <f>+'1.1.mell._ÖNK_Mérleg2019'!I91+'1.2.mell._HKÖH_Mérleg2019'!I91+'1.3.mell._HVÓBKI_Mérleg2019'!I91+'1.4.mell._HKK_Mérleg2019'!I91+'1.5._mell._MŐSZ_Mérleg2019'!I91+'1.6._mell._HVGYKCSSZ_Mérleg2019'!I91</f>
        <v>0</v>
      </c>
      <c r="M91" s="117">
        <f t="shared" si="17"/>
        <v>0</v>
      </c>
    </row>
    <row r="92" spans="1:13" s="13" customFormat="1">
      <c r="A92" s="86" t="s">
        <v>236</v>
      </c>
      <c r="B92" s="66" t="s">
        <v>249</v>
      </c>
      <c r="C92" s="1136">
        <f>+'1.1.mell._ÖNK_Mérleg2019'!C92+'1.2.mell._HKÖH_Mérleg2019'!C92+'1.3.mell._HVÓBKI_Mérleg2019'!C92+'1.4.mell._HKK_Mérleg2019'!C92+'1.5._mell._MŐSZ_Mérleg2019'!C92+'1.6._mell._HVGYKCSSZ_Mérleg2019'!C92</f>
        <v>0</v>
      </c>
      <c r="D92" s="1145">
        <f>+'1.1.mell._ÖNK_Mérleg2019'!D92+'1.2.mell._HKÖH_Mérleg2019'!D92+'1.3.mell._HVÓBKI_Mérleg2019'!D92+'1.4.mell._HKK_Mérleg2019'!D92+'1.5._mell._MŐSZ_Mérleg2019'!D92+'1.6._mell._HVGYKCSSZ_Mérleg2019'!D92</f>
        <v>0</v>
      </c>
      <c r="E92" s="1145">
        <f>+'1.1.mell._ÖNK_Mérleg2019'!E92+'1.2.mell._HKÖH_Mérleg2019'!E92+'1.3.mell._HVÓBKI_Mérleg2019'!E92+'1.4.mell._HKK_Mérleg2019'!E92+'1.5._mell._MŐSZ_Mérleg2019'!E92+'1.6._mell._HVGYKCSSZ_Mérleg2019'!E92</f>
        <v>0</v>
      </c>
      <c r="F92" s="1562" t="str">
        <f t="shared" si="16"/>
        <v>-</v>
      </c>
      <c r="G92" s="19">
        <f>+'1.1.mell._ÖNK_Mérleg2019'!G92+'1.2.mell._HKÖH_Mérleg2019'!G92+'1.3.mell._HVÓBKI_Mérleg2019'!G92+'1.4.mell._HKK_Mérleg2019'!G92+'1.5._mell._MŐSZ_Mérleg2019'!G92+'1.6._mell._HVGYKCSSZ_Mérleg2019'!G92</f>
        <v>0</v>
      </c>
      <c r="H92" s="12">
        <f>+'1.1.mell._ÖNK_Mérleg2019'!H92+'1.2.mell._HKÖH_Mérleg2019'!H92+'1.3.mell._HVÓBKI_Mérleg2019'!H92+'1.4.mell._HKK_Mérleg2019'!H92+'1.5._mell._MŐSZ_Mérleg2019'!H92+'1.6._mell._HVGYKCSSZ_Mérleg2019'!H92</f>
        <v>0</v>
      </c>
      <c r="I92" s="15">
        <f>+'1.1.mell._ÖNK_Mérleg2019'!I92+'1.2.mell._HKÖH_Mérleg2019'!I92+'1.3.mell._HVÓBKI_Mérleg2019'!I92+'1.4.mell._HKK_Mérleg2019'!I92+'1.5._mell._MŐSZ_Mérleg2019'!I92+'1.6._mell._HVGYKCSSZ_Mérleg2019'!I92</f>
        <v>0</v>
      </c>
      <c r="M92" s="117">
        <f t="shared" si="17"/>
        <v>0</v>
      </c>
    </row>
    <row r="93" spans="1:13" s="13" customFormat="1">
      <c r="A93" s="86" t="s">
        <v>237</v>
      </c>
      <c r="B93" s="66" t="s">
        <v>250</v>
      </c>
      <c r="C93" s="1136">
        <f>+'1.1.mell._ÖNK_Mérleg2019'!C93+'1.2.mell._HKÖH_Mérleg2019'!C93+'1.3.mell._HVÓBKI_Mérleg2019'!C93+'1.4.mell._HKK_Mérleg2019'!C93+'1.5._mell._MŐSZ_Mérleg2019'!C93+'1.6._mell._HVGYKCSSZ_Mérleg2019'!C93</f>
        <v>0</v>
      </c>
      <c r="D93" s="1145">
        <f>+'1.1.mell._ÖNK_Mérleg2019'!D93+'1.2.mell._HKÖH_Mérleg2019'!D93+'1.3.mell._HVÓBKI_Mérleg2019'!D93+'1.4.mell._HKK_Mérleg2019'!D93+'1.5._mell._MŐSZ_Mérleg2019'!D93+'1.6._mell._HVGYKCSSZ_Mérleg2019'!D93</f>
        <v>0</v>
      </c>
      <c r="E93" s="1145">
        <f>+'1.1.mell._ÖNK_Mérleg2019'!E93+'1.2.mell._HKÖH_Mérleg2019'!E93+'1.3.mell._HVÓBKI_Mérleg2019'!E93+'1.4.mell._HKK_Mérleg2019'!E93+'1.5._mell._MŐSZ_Mérleg2019'!E93+'1.6._mell._HVGYKCSSZ_Mérleg2019'!E93</f>
        <v>0</v>
      </c>
      <c r="F93" s="1562" t="str">
        <f t="shared" si="16"/>
        <v>-</v>
      </c>
      <c r="G93" s="19">
        <f>+'1.1.mell._ÖNK_Mérleg2019'!G93+'1.2.mell._HKÖH_Mérleg2019'!G93+'1.3.mell._HVÓBKI_Mérleg2019'!G93+'1.4.mell._HKK_Mérleg2019'!G93+'1.5._mell._MŐSZ_Mérleg2019'!G93+'1.6._mell._HVGYKCSSZ_Mérleg2019'!G93</f>
        <v>0</v>
      </c>
      <c r="H93" s="12">
        <f>+'1.1.mell._ÖNK_Mérleg2019'!H93+'1.2.mell._HKÖH_Mérleg2019'!H93+'1.3.mell._HVÓBKI_Mérleg2019'!H93+'1.4.mell._HKK_Mérleg2019'!H93+'1.5._mell._MŐSZ_Mérleg2019'!H93+'1.6._mell._HVGYKCSSZ_Mérleg2019'!H93</f>
        <v>0</v>
      </c>
      <c r="I93" s="15">
        <f>+'1.1.mell._ÖNK_Mérleg2019'!I93+'1.2.mell._HKÖH_Mérleg2019'!I93+'1.3.mell._HVÓBKI_Mérleg2019'!I93+'1.4.mell._HKK_Mérleg2019'!I93+'1.5._mell._MŐSZ_Mérleg2019'!I93+'1.6._mell._HVGYKCSSZ_Mérleg2019'!I93</f>
        <v>0</v>
      </c>
      <c r="M93" s="117">
        <f t="shared" si="17"/>
        <v>0</v>
      </c>
    </row>
    <row r="94" spans="1:13" s="13" customFormat="1">
      <c r="A94" s="103" t="s">
        <v>238</v>
      </c>
      <c r="B94" s="104" t="s">
        <v>251</v>
      </c>
      <c r="C94" s="1140"/>
      <c r="D94" s="1149"/>
      <c r="E94" s="1149"/>
      <c r="F94" s="1563" t="str">
        <f t="shared" si="16"/>
        <v>-</v>
      </c>
      <c r="G94" s="105"/>
      <c r="H94" s="106"/>
      <c r="I94" s="107"/>
      <c r="M94" s="117">
        <f t="shared" si="17"/>
        <v>0</v>
      </c>
    </row>
    <row r="95" spans="1:13" s="13" customFormat="1">
      <c r="A95" s="86" t="s">
        <v>239</v>
      </c>
      <c r="B95" s="66" t="s">
        <v>252</v>
      </c>
      <c r="C95" s="1136">
        <f>+'1.1.mell._ÖNK_Mérleg2019'!C95+'1.2.mell._HKÖH_Mérleg2019'!C95+'1.3.mell._HVÓBKI_Mérleg2019'!C95+'1.4.mell._HKK_Mérleg2019'!C95+'1.5._mell._MŐSZ_Mérleg2019'!C95+'1.6._mell._HVGYKCSSZ_Mérleg2019'!C95</f>
        <v>0</v>
      </c>
      <c r="D95" s="1145">
        <f>+'1.1.mell._ÖNK_Mérleg2019'!D95+'1.2.mell._HKÖH_Mérleg2019'!D95+'1.3.mell._HVÓBKI_Mérleg2019'!D95+'1.4.mell._HKK_Mérleg2019'!D95+'1.5._mell._MŐSZ_Mérleg2019'!D95+'1.6._mell._HVGYKCSSZ_Mérleg2019'!D95</f>
        <v>0</v>
      </c>
      <c r="E95" s="1145">
        <f>+'1.1.mell._ÖNK_Mérleg2019'!E95+'1.2.mell._HKÖH_Mérleg2019'!E95+'1.3.mell._HVÓBKI_Mérleg2019'!E95+'1.4.mell._HKK_Mérleg2019'!E95+'1.5._mell._MŐSZ_Mérleg2019'!E95+'1.6._mell._HVGYKCSSZ_Mérleg2019'!E95</f>
        <v>0</v>
      </c>
      <c r="F95" s="1562" t="str">
        <f t="shared" si="16"/>
        <v>-</v>
      </c>
      <c r="G95" s="19">
        <f>+'1.1.mell._ÖNK_Mérleg2019'!G95+'1.2.mell._HKÖH_Mérleg2019'!G95+'1.3.mell._HVÓBKI_Mérleg2019'!G95+'1.4.mell._HKK_Mérleg2019'!G95+'1.5._mell._MŐSZ_Mérleg2019'!G95+'1.6._mell._HVGYKCSSZ_Mérleg2019'!G95</f>
        <v>0</v>
      </c>
      <c r="H95" s="12">
        <f>+'1.1.mell._ÖNK_Mérleg2019'!H95+'1.2.mell._HKÖH_Mérleg2019'!H95+'1.3.mell._HVÓBKI_Mérleg2019'!H95+'1.4.mell._HKK_Mérleg2019'!H95+'1.5._mell._MŐSZ_Mérleg2019'!H95+'1.6._mell._HVGYKCSSZ_Mérleg2019'!H95</f>
        <v>0</v>
      </c>
      <c r="I95" s="15">
        <f>+'1.1.mell._ÖNK_Mérleg2019'!I95+'1.2.mell._HKÖH_Mérleg2019'!I95+'1.3.mell._HVÓBKI_Mérleg2019'!I95+'1.4.mell._HKK_Mérleg2019'!I95+'1.5._mell._MŐSZ_Mérleg2019'!I95+'1.6._mell._HVGYKCSSZ_Mérleg2019'!I95</f>
        <v>0</v>
      </c>
      <c r="M95" s="13">
        <f t="shared" si="17"/>
        <v>0</v>
      </c>
    </row>
    <row r="96" spans="1:13" s="13" customFormat="1">
      <c r="A96" s="86" t="s">
        <v>240</v>
      </c>
      <c r="B96" s="66" t="s">
        <v>245</v>
      </c>
      <c r="C96" s="1136">
        <f>+'1.1.mell._ÖNK_Mérleg2019'!C96+'1.2.mell._HKÖH_Mérleg2019'!C96+'1.3.mell._HVÓBKI_Mérleg2019'!C96+'1.4.mell._HKK_Mérleg2019'!C96+'1.5._mell._MŐSZ_Mérleg2019'!C96+'1.6._mell._HVGYKCSSZ_Mérleg2019'!C96</f>
        <v>0</v>
      </c>
      <c r="D96" s="1145">
        <f>+'1.1.mell._ÖNK_Mérleg2019'!D96+'1.2.mell._HKÖH_Mérleg2019'!D96+'1.3.mell._HVÓBKI_Mérleg2019'!D96+'1.4.mell._HKK_Mérleg2019'!D96+'1.5._mell._MŐSZ_Mérleg2019'!D96+'1.6._mell._HVGYKCSSZ_Mérleg2019'!D96</f>
        <v>0</v>
      </c>
      <c r="E96" s="1145">
        <f>+'1.1.mell._ÖNK_Mérleg2019'!E96+'1.2.mell._HKÖH_Mérleg2019'!E96+'1.3.mell._HVÓBKI_Mérleg2019'!E96+'1.4.mell._HKK_Mérleg2019'!E96+'1.5._mell._MŐSZ_Mérleg2019'!E96+'1.6._mell._HVGYKCSSZ_Mérleg2019'!E96</f>
        <v>0</v>
      </c>
      <c r="F96" s="1562" t="str">
        <f t="shared" si="16"/>
        <v>-</v>
      </c>
      <c r="G96" s="19">
        <f>+'1.1.mell._ÖNK_Mérleg2019'!G96+'1.2.mell._HKÖH_Mérleg2019'!G96+'1.3.mell._HVÓBKI_Mérleg2019'!G96+'1.4.mell._HKK_Mérleg2019'!G96+'1.5._mell._MŐSZ_Mérleg2019'!G96+'1.6._mell._HVGYKCSSZ_Mérleg2019'!G96</f>
        <v>0</v>
      </c>
      <c r="H96" s="12">
        <f>+'1.1.mell._ÖNK_Mérleg2019'!H96+'1.2.mell._HKÖH_Mérleg2019'!H96+'1.3.mell._HVÓBKI_Mérleg2019'!H96+'1.4.mell._HKK_Mérleg2019'!H96+'1.5._mell._MŐSZ_Mérleg2019'!H96+'1.6._mell._HVGYKCSSZ_Mérleg2019'!H96</f>
        <v>0</v>
      </c>
      <c r="I96" s="15">
        <f>+'1.1.mell._ÖNK_Mérleg2019'!I96+'1.2.mell._HKÖH_Mérleg2019'!I96+'1.3.mell._HVÓBKI_Mérleg2019'!I96+'1.4.mell._HKK_Mérleg2019'!I96+'1.5._mell._MŐSZ_Mérleg2019'!I96+'1.6._mell._HVGYKCSSZ_Mérleg2019'!I96</f>
        <v>0</v>
      </c>
      <c r="M96" s="13">
        <f t="shared" si="17"/>
        <v>0</v>
      </c>
    </row>
    <row r="97" spans="1:13" s="13" customFormat="1">
      <c r="A97" s="86" t="s">
        <v>921</v>
      </c>
      <c r="B97" s="66" t="s">
        <v>917</v>
      </c>
      <c r="C97" s="1136">
        <f>+'1.1.mell._ÖNK_Mérleg2019'!C97+'1.2.mell._HKÖH_Mérleg2019'!C97+'1.3.mell._HVÓBKI_Mérleg2019'!C97+'1.4.mell._HKK_Mérleg2019'!C97+'1.5._mell._MŐSZ_Mérleg2019'!C97+'1.6._mell._HVGYKCSSZ_Mérleg2019'!C97</f>
        <v>0</v>
      </c>
      <c r="D97" s="1145">
        <f>+'1.1.mell._ÖNK_Mérleg2019'!D97+'1.2.mell._HKÖH_Mérleg2019'!D97+'1.3.mell._HVÓBKI_Mérleg2019'!D97+'1.4.mell._HKK_Mérleg2019'!D97+'1.5._mell._MŐSZ_Mérleg2019'!D97+'1.6._mell._HVGYKCSSZ_Mérleg2019'!D97</f>
        <v>0</v>
      </c>
      <c r="E97" s="1145">
        <f>+'1.1.mell._ÖNK_Mérleg2019'!E97+'1.2.mell._HKÖH_Mérleg2019'!E97+'1.3.mell._HVÓBKI_Mérleg2019'!E97+'1.4.mell._HKK_Mérleg2019'!E97+'1.5._mell._MŐSZ_Mérleg2019'!E97+'1.6._mell._HVGYKCSSZ_Mérleg2019'!E97</f>
        <v>0</v>
      </c>
      <c r="F97" s="1562" t="str">
        <f t="shared" si="16"/>
        <v>-</v>
      </c>
      <c r="G97" s="19">
        <f>+'1.1.mell._ÖNK_Mérleg2019'!G97+'1.2.mell._HKÖH_Mérleg2019'!G97+'1.3.mell._HVÓBKI_Mérleg2019'!G97+'1.4.mell._HKK_Mérleg2019'!G97+'1.5._mell._MŐSZ_Mérleg2019'!G97+'1.6._mell._HVGYKCSSZ_Mérleg2019'!G97</f>
        <v>0</v>
      </c>
      <c r="H97" s="12">
        <f>+'1.1.mell._ÖNK_Mérleg2019'!H97+'1.2.mell._HKÖH_Mérleg2019'!H97+'1.3.mell._HVÓBKI_Mérleg2019'!H97+'1.4.mell._HKK_Mérleg2019'!H97+'1.5._mell._MŐSZ_Mérleg2019'!H97+'1.6._mell._HVGYKCSSZ_Mérleg2019'!H97</f>
        <v>0</v>
      </c>
      <c r="I97" s="15">
        <f>+'1.1.mell._ÖNK_Mérleg2019'!I97+'1.2.mell._HKÖH_Mérleg2019'!I97+'1.3.mell._HVÓBKI_Mérleg2019'!I97+'1.4.mell._HKK_Mérleg2019'!I97+'1.5._mell._MŐSZ_Mérleg2019'!I97+'1.6._mell._HVGYKCSSZ_Mérleg2019'!I97</f>
        <v>0</v>
      </c>
      <c r="M97" s="13">
        <f t="shared" si="17"/>
        <v>0</v>
      </c>
    </row>
    <row r="98" spans="1:13">
      <c r="A98" s="85" t="s">
        <v>241</v>
      </c>
      <c r="B98" s="67" t="s">
        <v>243</v>
      </c>
      <c r="C98" s="1137">
        <f>+'1.1.mell._ÖNK_Mérleg2019'!C98+'1.2.mell._HKÖH_Mérleg2019'!C98+'1.3.mell._HVÓBKI_Mérleg2019'!C98+'1.4.mell._HKK_Mérleg2019'!C98+'1.5._mell._MŐSZ_Mérleg2019'!C98+'1.6._mell._HVGYKCSSZ_Mérleg2019'!C98</f>
        <v>0</v>
      </c>
      <c r="D98" s="1146">
        <f>+'1.1.mell._ÖNK_Mérleg2019'!D98+'1.2.mell._HKÖH_Mérleg2019'!D98+'1.3.mell._HVÓBKI_Mérleg2019'!D98+'1.4.mell._HKK_Mérleg2019'!D98+'1.5._mell._MŐSZ_Mérleg2019'!D98+'1.6._mell._HVGYKCSSZ_Mérleg2019'!D98</f>
        <v>0</v>
      </c>
      <c r="E98" s="1146">
        <f>+'1.1.mell._ÖNK_Mérleg2019'!E98+'1.2.mell._HKÖH_Mérleg2019'!E98+'1.3.mell._HVÓBKI_Mérleg2019'!E98+'1.4.mell._HKK_Mérleg2019'!E98+'1.5._mell._MŐSZ_Mérleg2019'!E98+'1.6._mell._HVGYKCSSZ_Mérleg2019'!E98</f>
        <v>0</v>
      </c>
      <c r="F98" s="1562" t="str">
        <f t="shared" si="16"/>
        <v>-</v>
      </c>
      <c r="G98" s="20">
        <f>+'1.1.mell._ÖNK_Mérleg2019'!G98+'1.2.mell._HKÖH_Mérleg2019'!G98+'1.3.mell._HVÓBKI_Mérleg2019'!G98+'1.4.mell._HKK_Mérleg2019'!G98+'1.5._mell._MŐSZ_Mérleg2019'!G98+'1.6._mell._HVGYKCSSZ_Mérleg2019'!G98</f>
        <v>0</v>
      </c>
      <c r="H98" s="11">
        <f>+'1.1.mell._ÖNK_Mérleg2019'!H98+'1.2.mell._HKÖH_Mérleg2019'!H98+'1.3.mell._HVÓBKI_Mérleg2019'!H98+'1.4.mell._HKK_Mérleg2019'!H98+'1.5._mell._MŐSZ_Mérleg2019'!H98+'1.6._mell._HVGYKCSSZ_Mérleg2019'!H98</f>
        <v>0</v>
      </c>
      <c r="I98" s="16">
        <f>+'1.1.mell._ÖNK_Mérleg2019'!I98+'1.2.mell._HKÖH_Mérleg2019'!I98+'1.3.mell._HVÓBKI_Mérleg2019'!I98+'1.4.mell._HKK_Mérleg2019'!I98+'1.5._mell._MŐSZ_Mérleg2019'!I98+'1.6._mell._HVGYKCSSZ_Mérleg2019'!I98</f>
        <v>0</v>
      </c>
      <c r="M98" s="4">
        <f t="shared" si="17"/>
        <v>0</v>
      </c>
    </row>
    <row r="99" spans="1:13">
      <c r="A99" s="78" t="s">
        <v>242</v>
      </c>
      <c r="B99" s="68" t="s">
        <v>244</v>
      </c>
      <c r="C99" s="1138">
        <f>+'1.1.mell._ÖNK_Mérleg2019'!C99+'1.2.mell._HKÖH_Mérleg2019'!C99+'1.3.mell._HVÓBKI_Mérleg2019'!C99+'1.4.mell._HKK_Mérleg2019'!C99+'1.5._mell._MŐSZ_Mérleg2019'!C99+'1.6._mell._HVGYKCSSZ_Mérleg2019'!C99</f>
        <v>0</v>
      </c>
      <c r="D99" s="1147">
        <f>+'1.1.mell._ÖNK_Mérleg2019'!D99+'1.2.mell._HKÖH_Mérleg2019'!D99+'1.3.mell._HVÓBKI_Mérleg2019'!D99+'1.4.mell._HKK_Mérleg2019'!D99+'1.5._mell._MŐSZ_Mérleg2019'!D99+'1.6._mell._HVGYKCSSZ_Mérleg2019'!D99</f>
        <v>0</v>
      </c>
      <c r="E99" s="1147">
        <f>+'1.1.mell._ÖNK_Mérleg2019'!E99+'1.2.mell._HKÖH_Mérleg2019'!E99+'1.3.mell._HVÓBKI_Mérleg2019'!E99+'1.4.mell._HKK_Mérleg2019'!E99+'1.5._mell._MŐSZ_Mérleg2019'!E99+'1.6._mell._HVGYKCSSZ_Mérleg2019'!E99</f>
        <v>0</v>
      </c>
      <c r="F99" s="1561" t="str">
        <f t="shared" si="16"/>
        <v>-</v>
      </c>
      <c r="G99" s="21">
        <f>+'1.1.mell._ÖNK_Mérleg2019'!G99+'1.2.mell._HKÖH_Mérleg2019'!G99+'1.3.mell._HVÓBKI_Mérleg2019'!G99+'1.4.mell._HKK_Mérleg2019'!G99+'1.5._mell._MŐSZ_Mérleg2019'!G99+'1.6._mell._HVGYKCSSZ_Mérleg2019'!G99</f>
        <v>0</v>
      </c>
      <c r="H99" s="22">
        <f>+'1.1.mell._ÖNK_Mérleg2019'!H99+'1.2.mell._HKÖH_Mérleg2019'!H99+'1.3.mell._HVÓBKI_Mérleg2019'!H99+'1.4.mell._HKK_Mérleg2019'!H99+'1.5._mell._MŐSZ_Mérleg2019'!H99+'1.6._mell._HVGYKCSSZ_Mérleg2019'!H99</f>
        <v>0</v>
      </c>
      <c r="I99" s="23">
        <f>+'1.1.mell._ÖNK_Mérleg2019'!I99+'1.2.mell._HKÖH_Mérleg2019'!I99+'1.3.mell._HVÓBKI_Mérleg2019'!I99+'1.4.mell._HKK_Mérleg2019'!I99+'1.5._mell._MŐSZ_Mérleg2019'!I99+'1.6._mell._HVGYKCSSZ_Mérleg2019'!I99</f>
        <v>0</v>
      </c>
      <c r="M99" s="4">
        <f t="shared" si="17"/>
        <v>0</v>
      </c>
    </row>
    <row r="100" spans="1:13" ht="12.75" thickBot="1">
      <c r="A100" s="78" t="s">
        <v>923</v>
      </c>
      <c r="B100" s="68" t="s">
        <v>919</v>
      </c>
      <c r="C100" s="1138">
        <f>+'1.1.mell._ÖNK_Mérleg2019'!C100+'1.2.mell._HKÖH_Mérleg2019'!C100+'1.3.mell._HVÓBKI_Mérleg2019'!C100+'1.4.mell._HKK_Mérleg2019'!C100+'1.5._mell._MŐSZ_Mérleg2019'!C100+'1.6._mell._HVGYKCSSZ_Mérleg2019'!C100</f>
        <v>0</v>
      </c>
      <c r="D100" s="1147">
        <f>+'1.1.mell._ÖNK_Mérleg2019'!D100+'1.2.mell._HKÖH_Mérleg2019'!D100+'1.3.mell._HVÓBKI_Mérleg2019'!D100+'1.4.mell._HKK_Mérleg2019'!D100+'1.5._mell._MŐSZ_Mérleg2019'!D100+'1.6._mell._HVGYKCSSZ_Mérleg2019'!D100</f>
        <v>0</v>
      </c>
      <c r="E100" s="1147">
        <f>+'1.1.mell._ÖNK_Mérleg2019'!E100+'1.2.mell._HKÖH_Mérleg2019'!E100+'1.3.mell._HVÓBKI_Mérleg2019'!E100+'1.4.mell._HKK_Mérleg2019'!E100+'1.5._mell._MŐSZ_Mérleg2019'!E100+'1.6._mell._HVGYKCSSZ_Mérleg2019'!E100</f>
        <v>0</v>
      </c>
      <c r="F100" s="1561" t="str">
        <f t="shared" si="16"/>
        <v>-</v>
      </c>
      <c r="G100" s="21">
        <f>+'1.1.mell._ÖNK_Mérleg2019'!G100+'1.2.mell._HKÖH_Mérleg2019'!G100+'1.3.mell._HVÓBKI_Mérleg2019'!G100+'1.4.mell._HKK_Mérleg2019'!G100+'1.5._mell._MŐSZ_Mérleg2019'!G100+'1.6._mell._HVGYKCSSZ_Mérleg2019'!G100</f>
        <v>0</v>
      </c>
      <c r="H100" s="22">
        <f>+'1.1.mell._ÖNK_Mérleg2019'!H100+'1.2.mell._HKÖH_Mérleg2019'!H100+'1.3.mell._HVÓBKI_Mérleg2019'!H100+'1.4.mell._HKK_Mérleg2019'!H100+'1.5._mell._MŐSZ_Mérleg2019'!H100+'1.6._mell._HVGYKCSSZ_Mérleg2019'!H100</f>
        <v>0</v>
      </c>
      <c r="I100" s="23">
        <f>+'1.1.mell._ÖNK_Mérleg2019'!I100+'1.2.mell._HKÖH_Mérleg2019'!I100+'1.3.mell._HVÓBKI_Mérleg2019'!I100+'1.4.mell._HKK_Mérleg2019'!I100+'1.5._mell._MŐSZ_Mérleg2019'!I100+'1.6._mell._HVGYKCSSZ_Mérleg2019'!I100</f>
        <v>0</v>
      </c>
      <c r="M100" s="4">
        <f t="shared" si="17"/>
        <v>0</v>
      </c>
    </row>
    <row r="101" spans="1:13" s="3" customFormat="1" ht="12.75" thickBot="1">
      <c r="A101" s="83" t="s">
        <v>43</v>
      </c>
      <c r="B101" s="69" t="s">
        <v>306</v>
      </c>
      <c r="C101" s="1134">
        <f t="shared" ref="C101:E101" si="21">+C71+C86</f>
        <v>2748771</v>
      </c>
      <c r="D101" s="1143">
        <f t="shared" si="21"/>
        <v>3196604</v>
      </c>
      <c r="E101" s="1143">
        <f t="shared" si="21"/>
        <v>3196604</v>
      </c>
      <c r="F101" s="1558">
        <f t="shared" si="16"/>
        <v>1</v>
      </c>
      <c r="G101" s="27">
        <f>+G71+G86</f>
        <v>3196589</v>
      </c>
      <c r="H101" s="28">
        <f>+H71+H86</f>
        <v>15</v>
      </c>
      <c r="I101" s="29">
        <f>+I71+I86</f>
        <v>0</v>
      </c>
      <c r="J101" s="628">
        <f>+C101/$C$102</f>
        <v>0.59455781783212092</v>
      </c>
      <c r="K101" s="628">
        <f>+D101/$D$102</f>
        <v>0.48081944068823007</v>
      </c>
      <c r="L101" s="628">
        <f>+E101/$E$102</f>
        <v>0.49520128157918913</v>
      </c>
      <c r="M101" s="3">
        <f t="shared" si="17"/>
        <v>0</v>
      </c>
    </row>
    <row r="102" spans="1:13" s="3" customFormat="1" ht="12.75" thickBot="1">
      <c r="A102" s="87" t="s">
        <v>40</v>
      </c>
      <c r="B102" s="71" t="s">
        <v>307</v>
      </c>
      <c r="C102" s="1141">
        <f t="shared" ref="C102:E102" si="22">+C70+C101</f>
        <v>4623219</v>
      </c>
      <c r="D102" s="1150">
        <f t="shared" si="22"/>
        <v>6648242</v>
      </c>
      <c r="E102" s="1150">
        <f t="shared" si="22"/>
        <v>6455161</v>
      </c>
      <c r="F102" s="1564">
        <f t="shared" si="16"/>
        <v>0.97095758547898825</v>
      </c>
      <c r="G102" s="24">
        <f>+G70+G101</f>
        <v>6421464</v>
      </c>
      <c r="H102" s="25">
        <f>+H70+H101</f>
        <v>27175</v>
      </c>
      <c r="I102" s="26">
        <f>+I70+I101</f>
        <v>6522</v>
      </c>
      <c r="J102" s="628">
        <f>+C102/$C$102</f>
        <v>1</v>
      </c>
      <c r="K102" s="628">
        <f>+D102/$D$102</f>
        <v>1</v>
      </c>
      <c r="L102" s="628">
        <f>+E102/$E$102</f>
        <v>1</v>
      </c>
      <c r="M102" s="3">
        <f t="shared" si="17"/>
        <v>0</v>
      </c>
    </row>
    <row r="103" spans="1:13" s="3" customFormat="1">
      <c r="A103" s="53"/>
      <c r="B103" s="30"/>
      <c r="F103" s="1548"/>
      <c r="G103" s="30"/>
      <c r="H103" s="30"/>
      <c r="I103" s="30"/>
    </row>
    <row r="104" spans="1:13" s="3" customFormat="1">
      <c r="A104" s="53"/>
      <c r="B104" s="30"/>
      <c r="C104" s="30"/>
      <c r="D104" s="30"/>
      <c r="E104" s="30"/>
      <c r="F104" s="1557"/>
      <c r="G104" s="30"/>
      <c r="H104" s="30"/>
      <c r="I104" s="30"/>
    </row>
    <row r="105" spans="1:13" s="52" customFormat="1" ht="15.75">
      <c r="A105" s="1789" t="s">
        <v>80</v>
      </c>
      <c r="B105" s="1789"/>
      <c r="C105" s="1789"/>
      <c r="D105" s="1789"/>
      <c r="E105" s="1789"/>
      <c r="F105" s="1789"/>
      <c r="G105" s="1789"/>
      <c r="H105" s="1789"/>
      <c r="I105" s="1789"/>
    </row>
    <row r="106" spans="1:13" s="36" customFormat="1" ht="12.75" thickBot="1">
      <c r="A106" s="38" t="s">
        <v>279</v>
      </c>
      <c r="F106" s="1548"/>
      <c r="I106" s="37" t="s">
        <v>281</v>
      </c>
    </row>
    <row r="107" spans="1:13" s="3" customFormat="1" ht="48.75" thickBot="1">
      <c r="A107" s="79" t="s">
        <v>17</v>
      </c>
      <c r="B107" s="80" t="s">
        <v>329</v>
      </c>
      <c r="C107" s="1572" t="s">
        <v>1553</v>
      </c>
      <c r="D107" s="1571" t="s">
        <v>1554</v>
      </c>
      <c r="E107" s="6" t="s">
        <v>2646</v>
      </c>
      <c r="F107" s="1549" t="s">
        <v>2645</v>
      </c>
      <c r="G107" s="5" t="s">
        <v>51</v>
      </c>
      <c r="H107" s="6" t="s">
        <v>52</v>
      </c>
      <c r="I107" s="7" t="s">
        <v>53</v>
      </c>
    </row>
    <row r="108" spans="1:13" s="3" customFormat="1" ht="13.5" customHeight="1" thickBot="1">
      <c r="A108" s="81" t="s">
        <v>253</v>
      </c>
      <c r="B108" s="82" t="s">
        <v>254</v>
      </c>
      <c r="C108" s="1791" t="s">
        <v>255</v>
      </c>
      <c r="D108" s="1792"/>
      <c r="E108" s="1792"/>
      <c r="F108" s="1792"/>
      <c r="G108" s="1792"/>
      <c r="H108" s="1792"/>
      <c r="I108" s="1793"/>
    </row>
    <row r="109" spans="1:13" s="3" customFormat="1" ht="12.75" thickBot="1">
      <c r="A109" s="83" t="s">
        <v>4</v>
      </c>
      <c r="B109" s="69" t="s">
        <v>308</v>
      </c>
      <c r="C109" s="1134">
        <f t="shared" ref="C109:E109" si="23">+C110+C114+C116+C123+C132</f>
        <v>4110574</v>
      </c>
      <c r="D109" s="1143">
        <f t="shared" si="23"/>
        <v>5205095</v>
      </c>
      <c r="E109" s="1143">
        <f t="shared" si="23"/>
        <v>1963655</v>
      </c>
      <c r="F109" s="1558">
        <f t="shared" ref="F109:F172" si="24">IF(ISERROR(E109/D109),"-",E109/D109)</f>
        <v>0.37725632289132088</v>
      </c>
      <c r="G109" s="27">
        <f>+G110+G114+G116+G123+G132</f>
        <v>1909865</v>
      </c>
      <c r="H109" s="28">
        <f>+H110+H114+H116+H123+H132</f>
        <v>46578</v>
      </c>
      <c r="I109" s="29">
        <f>+I110+I114+I116+I123+I132</f>
        <v>7212</v>
      </c>
      <c r="J109" s="628">
        <f>+C109/$C$208</f>
        <v>0.88911513817537091</v>
      </c>
      <c r="K109" s="628">
        <f>+D109/$D$208</f>
        <v>0.78292802819151286</v>
      </c>
      <c r="L109" s="628">
        <f>+E109/$E$208</f>
        <v>0.62848363207020286</v>
      </c>
      <c r="M109" s="3">
        <f t="shared" ref="M109:M172" si="25">+E109-G109-H109-I109</f>
        <v>0</v>
      </c>
    </row>
    <row r="110" spans="1:13" s="3" customFormat="1" ht="12.75" thickBot="1">
      <c r="A110" s="83" t="s">
        <v>5</v>
      </c>
      <c r="B110" s="64" t="s">
        <v>309</v>
      </c>
      <c r="C110" s="1134">
        <f t="shared" ref="C110:E110" si="26">+C112+C113</f>
        <v>655870</v>
      </c>
      <c r="D110" s="1143">
        <f t="shared" si="26"/>
        <v>930589</v>
      </c>
      <c r="E110" s="1143">
        <f t="shared" si="26"/>
        <v>915906</v>
      </c>
      <c r="F110" s="1558">
        <f t="shared" si="24"/>
        <v>0.98422182080381349</v>
      </c>
      <c r="G110" s="27">
        <f>+G112+G113</f>
        <v>895054</v>
      </c>
      <c r="H110" s="28">
        <f>+H112+H113</f>
        <v>15075</v>
      </c>
      <c r="I110" s="29">
        <f>+I112+I113</f>
        <v>5777</v>
      </c>
      <c r="J110" s="628">
        <f>+C110/$C$208</f>
        <v>0.14186435901046435</v>
      </c>
      <c r="K110" s="628">
        <f>+D110/$D$208</f>
        <v>0.13997519945874412</v>
      </c>
      <c r="L110" s="628">
        <f>+E110/$E$208</f>
        <v>0.29314310788549475</v>
      </c>
      <c r="M110" s="3">
        <f t="shared" si="25"/>
        <v>0</v>
      </c>
    </row>
    <row r="111" spans="1:13" s="36" customFormat="1">
      <c r="A111" s="705" t="s">
        <v>349</v>
      </c>
      <c r="B111" s="706" t="s">
        <v>350</v>
      </c>
      <c r="C111" s="1151">
        <f>+'1.1.mell._ÖNK_Mérleg2019'!C111+'1.2.mell._HKÖH_Mérleg2019'!C111+'1.3.mell._HVÓBKI_Mérleg2019'!C111+'1.4.mell._HKK_Mérleg2019'!C111+'1.5._mell._MŐSZ_Mérleg2019'!C111+'1.6._mell._HVGYKCSSZ_Mérleg2019'!C111</f>
        <v>0</v>
      </c>
      <c r="D111" s="1152">
        <f>+'1.1.mell._ÖNK_Mérleg2019'!D111+'1.2.mell._HKÖH_Mérleg2019'!D111+'1.3.mell._HVÓBKI_Mérleg2019'!D111+'1.4.mell._HKK_Mérleg2019'!D111+'1.5._mell._MŐSZ_Mérleg2019'!D111+'1.6._mell._HVGYKCSSZ_Mérleg2019'!D111</f>
        <v>150406</v>
      </c>
      <c r="E111" s="1152">
        <f>+'1.1.mell._ÖNK_Mérleg2019'!E111+'1.2.mell._HKÖH_Mérleg2019'!E111+'1.3.mell._HVÓBKI_Mérleg2019'!E111+'1.4.mell._HKK_Mérleg2019'!E111+'1.5._mell._MŐSZ_Mérleg2019'!E111+'1.6._mell._HVGYKCSSZ_Mérleg2019'!E111</f>
        <v>150406</v>
      </c>
      <c r="F111" s="1559">
        <f t="shared" si="24"/>
        <v>1</v>
      </c>
      <c r="G111" s="96">
        <f>+'1.1.mell._ÖNK_Mérleg2019'!G111+'1.2.mell._HKÖH_Mérleg2019'!G111+'1.3.mell._HVÓBKI_Mérleg2019'!G111+'1.4.mell._HKK_Mérleg2019'!G111+'1.5._mell._MŐSZ_Mérleg2019'!G111+'1.6._mell._HVGYKCSSZ_Mérleg2019'!G111</f>
        <v>150406</v>
      </c>
      <c r="H111" s="97">
        <f>+'1.1.mell._ÖNK_Mérleg2019'!H111+'1.2.mell._HKÖH_Mérleg2019'!H111+'1.3.mell._HVÓBKI_Mérleg2019'!H111+'1.4.mell._HKK_Mérleg2019'!H111+'1.5._mell._MŐSZ_Mérleg2019'!H111+'1.6._mell._HVGYKCSSZ_Mérleg2019'!H111</f>
        <v>0</v>
      </c>
      <c r="I111" s="98">
        <f>+'1.1.mell._ÖNK_Mérleg2019'!I111+'1.2.mell._HKÖH_Mérleg2019'!I111+'1.3.mell._HVÓBKI_Mérleg2019'!I111+'1.4.mell._HKK_Mérleg2019'!I111+'1.5._mell._MŐSZ_Mérleg2019'!I111+'1.6._mell._HVGYKCSSZ_Mérleg2019'!I111</f>
        <v>0</v>
      </c>
      <c r="M111" s="36">
        <f t="shared" si="25"/>
        <v>0</v>
      </c>
    </row>
    <row r="112" spans="1:13">
      <c r="A112" s="84" t="s">
        <v>54</v>
      </c>
      <c r="B112" s="65" t="s">
        <v>127</v>
      </c>
      <c r="C112" s="1135">
        <f>+'1.1.mell._ÖNK_Mérleg2019'!C112+'1.2.mell._HKÖH_Mérleg2019'!C112+'1.3.mell._HVÓBKI_Mérleg2019'!C112+'1.4.mell._HKK_Mérleg2019'!C112+'1.5._mell._MŐSZ_Mérleg2019'!C112+'1.6._mell._HVGYKCSSZ_Mérleg2019'!C112</f>
        <v>620464</v>
      </c>
      <c r="D112" s="1144">
        <f>+'1.1.mell._ÖNK_Mérleg2019'!D112+'1.2.mell._HKÖH_Mérleg2019'!D112+'1.3.mell._HVÓBKI_Mérleg2019'!D112+'1.4.mell._HKK_Mérleg2019'!D112+'1.5._mell._MŐSZ_Mérleg2019'!D112+'1.6._mell._HVGYKCSSZ_Mérleg2019'!D112</f>
        <v>828334</v>
      </c>
      <c r="E112" s="1144">
        <f>+'1.1.mell._ÖNK_Mérleg2019'!E112+'1.2.mell._HKÖH_Mérleg2019'!E112+'1.3.mell._HVÓBKI_Mérleg2019'!E112+'1.4.mell._HKK_Mérleg2019'!E112+'1.5._mell._MŐSZ_Mérleg2019'!E112+'1.6._mell._HVGYKCSSZ_Mérleg2019'!E112</f>
        <v>817664</v>
      </c>
      <c r="F112" s="1560">
        <f t="shared" si="24"/>
        <v>0.98711872264086709</v>
      </c>
      <c r="G112" s="34">
        <f>+'1.1.mell._ÖNK_Mérleg2019'!G112+'1.2.mell._HKÖH_Mérleg2019'!G112+'1.3.mell._HVÓBKI_Mérleg2019'!G112+'1.4.mell._HKK_Mérleg2019'!G112+'1.5._mell._MŐSZ_Mérleg2019'!G112+'1.6._mell._HVGYKCSSZ_Mérleg2019'!G112</f>
        <v>800069</v>
      </c>
      <c r="H112" s="10">
        <f>+'1.1.mell._ÖNK_Mérleg2019'!H112+'1.2.mell._HKÖH_Mérleg2019'!H112+'1.3.mell._HVÓBKI_Mérleg2019'!H112+'1.4.mell._HKK_Mérleg2019'!H112+'1.5._mell._MŐSZ_Mérleg2019'!H112+'1.6._mell._HVGYKCSSZ_Mérleg2019'!H112</f>
        <v>15075</v>
      </c>
      <c r="I112" s="35">
        <f>+'1.1.mell._ÖNK_Mérleg2019'!I112+'1.2.mell._HKÖH_Mérleg2019'!I112+'1.3.mell._HVÓBKI_Mérleg2019'!I112+'1.4.mell._HKK_Mérleg2019'!I112+'1.5._mell._MŐSZ_Mérleg2019'!I112+'1.6._mell._HVGYKCSSZ_Mérleg2019'!I112</f>
        <v>2520</v>
      </c>
      <c r="M112" s="4">
        <f t="shared" si="25"/>
        <v>0</v>
      </c>
    </row>
    <row r="113" spans="1:13" ht="12.75" thickBot="1">
      <c r="A113" s="78" t="s">
        <v>55</v>
      </c>
      <c r="B113" s="68" t="s">
        <v>128</v>
      </c>
      <c r="C113" s="1138">
        <f>+'1.1.mell._ÖNK_Mérleg2019'!C113+'1.2.mell._HKÖH_Mérleg2019'!C113+'1.3.mell._HVÓBKI_Mérleg2019'!C113+'1.4.mell._HKK_Mérleg2019'!C113+'1.5._mell._MŐSZ_Mérleg2019'!C113+'1.6._mell._HVGYKCSSZ_Mérleg2019'!C113</f>
        <v>35406</v>
      </c>
      <c r="D113" s="1147">
        <f>+'1.1.mell._ÖNK_Mérleg2019'!D113+'1.2.mell._HKÖH_Mérleg2019'!D113+'1.3.mell._HVÓBKI_Mérleg2019'!D113+'1.4.mell._HKK_Mérleg2019'!D113+'1.5._mell._MŐSZ_Mérleg2019'!D113+'1.6._mell._HVGYKCSSZ_Mérleg2019'!D113</f>
        <v>102255</v>
      </c>
      <c r="E113" s="1147">
        <f>+'1.1.mell._ÖNK_Mérleg2019'!E113+'1.2.mell._HKÖH_Mérleg2019'!E113+'1.3.mell._HVÓBKI_Mérleg2019'!E113+'1.4.mell._HKK_Mérleg2019'!E113+'1.5._mell._MŐSZ_Mérleg2019'!E113+'1.6._mell._HVGYKCSSZ_Mérleg2019'!E113</f>
        <v>98242</v>
      </c>
      <c r="F113" s="1561">
        <f t="shared" si="24"/>
        <v>0.96075497530683096</v>
      </c>
      <c r="G113" s="21">
        <f>+'1.1.mell._ÖNK_Mérleg2019'!G113+'1.2.mell._HKÖH_Mérleg2019'!G113+'1.3.mell._HVÓBKI_Mérleg2019'!G113+'1.4.mell._HKK_Mérleg2019'!G113+'1.5._mell._MŐSZ_Mérleg2019'!G113+'1.6._mell._HVGYKCSSZ_Mérleg2019'!G113</f>
        <v>94985</v>
      </c>
      <c r="H113" s="22">
        <f>+'1.1.mell._ÖNK_Mérleg2019'!H113+'1.2.mell._HKÖH_Mérleg2019'!H113+'1.3.mell._HVÓBKI_Mérleg2019'!H113+'1.4.mell._HKK_Mérleg2019'!H113+'1.5._mell._MŐSZ_Mérleg2019'!H113+'1.6._mell._HVGYKCSSZ_Mérleg2019'!H113</f>
        <v>0</v>
      </c>
      <c r="I113" s="23">
        <f>+'1.1.mell._ÖNK_Mérleg2019'!I113+'1.2.mell._HKÖH_Mérleg2019'!I113+'1.3.mell._HVÓBKI_Mérleg2019'!I113+'1.4.mell._HKK_Mérleg2019'!I113+'1.5._mell._MŐSZ_Mérleg2019'!I113+'1.6._mell._HVGYKCSSZ_Mérleg2019'!I113</f>
        <v>3257</v>
      </c>
      <c r="M113" s="4">
        <f t="shared" si="25"/>
        <v>0</v>
      </c>
    </row>
    <row r="114" spans="1:13" s="3" customFormat="1" ht="12.75" thickBot="1">
      <c r="A114" s="83" t="s">
        <v>6</v>
      </c>
      <c r="B114" s="64" t="s">
        <v>256</v>
      </c>
      <c r="C114" s="1134">
        <f>+'1.1.mell._ÖNK_Mérleg2019'!C114+'1.2.mell._HKÖH_Mérleg2019'!C114+'1.3.mell._HVÓBKI_Mérleg2019'!C114+'1.4.mell._HKK_Mérleg2019'!C114+'1.5._mell._MŐSZ_Mérleg2019'!C114+'1.6._mell._HVGYKCSSZ_Mérleg2019'!C114</f>
        <v>131505</v>
      </c>
      <c r="D114" s="1143">
        <f>+'1.1.mell._ÖNK_Mérleg2019'!D114+'1.2.mell._HKÖH_Mérleg2019'!D114+'1.3.mell._HVÓBKI_Mérleg2019'!D114+'1.4.mell._HKK_Mérleg2019'!D114+'1.5._mell._MŐSZ_Mérleg2019'!D114+'1.6._mell._HVGYKCSSZ_Mérleg2019'!D114</f>
        <v>178765</v>
      </c>
      <c r="E114" s="1143">
        <f>+'1.1.mell._ÖNK_Mérleg2019'!E114+'1.2.mell._HKÖH_Mérleg2019'!E114+'1.3.mell._HVÓBKI_Mérleg2019'!E114+'1.4.mell._HKK_Mérleg2019'!E114+'1.5._mell._MŐSZ_Mérleg2019'!E114+'1.6._mell._HVGYKCSSZ_Mérleg2019'!E114</f>
        <v>169543</v>
      </c>
      <c r="F114" s="1558">
        <f t="shared" si="24"/>
        <v>0.9484127206108578</v>
      </c>
      <c r="G114" s="27">
        <f>+'1.1.mell._ÖNK_Mérleg2019'!G114+'1.2.mell._HKÖH_Mérleg2019'!G114+'1.3.mell._HVÓBKI_Mérleg2019'!G114+'1.4.mell._HKK_Mérleg2019'!G114+'1.5._mell._MŐSZ_Mérleg2019'!G114+'1.6._mell._HVGYKCSSZ_Mérleg2019'!G114</f>
        <v>165689</v>
      </c>
      <c r="H114" s="28">
        <f>+'1.1.mell._ÖNK_Mérleg2019'!H114+'1.2.mell._HKÖH_Mérleg2019'!H114+'1.3.mell._HVÓBKI_Mérleg2019'!H114+'1.4.mell._HKK_Mérleg2019'!H114+'1.5._mell._MŐSZ_Mérleg2019'!H114+'1.6._mell._HVGYKCSSZ_Mérleg2019'!H114</f>
        <v>2693</v>
      </c>
      <c r="I114" s="29">
        <f>+'1.1.mell._ÖNK_Mérleg2019'!I114+'1.2.mell._HKÖH_Mérleg2019'!I114+'1.3.mell._HVÓBKI_Mérleg2019'!I114+'1.4.mell._HKK_Mérleg2019'!I114+'1.5._mell._MŐSZ_Mérleg2019'!I114+'1.6._mell._HVGYKCSSZ_Mérleg2019'!I114</f>
        <v>1161</v>
      </c>
      <c r="J114" s="628">
        <f>+C114/$C$208</f>
        <v>2.8444466939593387E-2</v>
      </c>
      <c r="K114" s="628">
        <f>+D114/$D$208</f>
        <v>2.6889063304253967E-2</v>
      </c>
      <c r="L114" s="628">
        <f>+E114/$E$208</f>
        <v>5.4263605588597996E-2</v>
      </c>
      <c r="M114" s="3">
        <f t="shared" si="25"/>
        <v>0</v>
      </c>
    </row>
    <row r="115" spans="1:13" s="36" customFormat="1" ht="12.75" thickBot="1">
      <c r="A115" s="705" t="s">
        <v>346</v>
      </c>
      <c r="B115" s="706" t="s">
        <v>347</v>
      </c>
      <c r="C115" s="1151">
        <f>+'1.1.mell._ÖNK_Mérleg2019'!C115+'1.2.mell._HKÖH_Mérleg2019'!C115+'1.3.mell._HVÓBKI_Mérleg2019'!C115+'1.4.mell._HKK_Mérleg2019'!C115+'1.5._mell._MŐSZ_Mérleg2019'!C115+'1.6._mell._HVGYKCSSZ_Mérleg2019'!C115</f>
        <v>0</v>
      </c>
      <c r="D115" s="1152">
        <f>+'1.1.mell._ÖNK_Mérleg2019'!D115+'1.2.mell._HKÖH_Mérleg2019'!D115+'1.3.mell._HVÓBKI_Mérleg2019'!D115+'1.4.mell._HKK_Mérleg2019'!D115+'1.5._mell._MŐSZ_Mérleg2019'!D115+'1.6._mell._HVGYKCSSZ_Mérleg2019'!D115</f>
        <v>26165</v>
      </c>
      <c r="E115" s="1152">
        <f>+'1.1.mell._ÖNK_Mérleg2019'!E115+'1.2.mell._HKÖH_Mérleg2019'!E115+'1.3.mell._HVÓBKI_Mérleg2019'!E115+'1.4.mell._HKK_Mérleg2019'!E115+'1.5._mell._MŐSZ_Mérleg2019'!E115+'1.6._mell._HVGYKCSSZ_Mérleg2019'!E115</f>
        <v>26165</v>
      </c>
      <c r="F115" s="1559">
        <f t="shared" si="24"/>
        <v>1</v>
      </c>
      <c r="G115" s="96">
        <f>+'1.1.mell._ÖNK_Mérleg2019'!G115+'1.2.mell._HKÖH_Mérleg2019'!G115+'1.3.mell._HVÓBKI_Mérleg2019'!G115+'1.4.mell._HKK_Mérleg2019'!G115+'1.5._mell._MŐSZ_Mérleg2019'!G115+'1.6._mell._HVGYKCSSZ_Mérleg2019'!G115</f>
        <v>26165</v>
      </c>
      <c r="H115" s="97">
        <f>+'1.1.mell._ÖNK_Mérleg2019'!H115+'1.2.mell._HKÖH_Mérleg2019'!H115+'1.3.mell._HVÓBKI_Mérleg2019'!H115+'1.4.mell._HKK_Mérleg2019'!H115+'1.5._mell._MŐSZ_Mérleg2019'!H115+'1.6._mell._HVGYKCSSZ_Mérleg2019'!H115</f>
        <v>0</v>
      </c>
      <c r="I115" s="98">
        <f>+'1.1.mell._ÖNK_Mérleg2019'!I115+'1.2.mell._HKÖH_Mérleg2019'!I115+'1.3.mell._HVÓBKI_Mérleg2019'!I115+'1.4.mell._HKK_Mérleg2019'!I115+'1.5._mell._MŐSZ_Mérleg2019'!I115+'1.6._mell._HVGYKCSSZ_Mérleg2019'!I115</f>
        <v>0</v>
      </c>
      <c r="M115" s="36">
        <f t="shared" si="25"/>
        <v>0</v>
      </c>
    </row>
    <row r="116" spans="1:13" s="3" customFormat="1" ht="12.75" thickBot="1">
      <c r="A116" s="83" t="s">
        <v>3</v>
      </c>
      <c r="B116" s="64" t="s">
        <v>343</v>
      </c>
      <c r="C116" s="1134">
        <f t="shared" ref="C116:E116" si="27">+C118+C119+C120+C121+C122</f>
        <v>391454</v>
      </c>
      <c r="D116" s="1143">
        <f t="shared" si="27"/>
        <v>834328</v>
      </c>
      <c r="E116" s="1143">
        <f t="shared" si="27"/>
        <v>745686</v>
      </c>
      <c r="F116" s="1558">
        <f t="shared" si="24"/>
        <v>0.89375641234622349</v>
      </c>
      <c r="G116" s="27">
        <f>+G118+G119+G120+G121+G122</f>
        <v>717792</v>
      </c>
      <c r="H116" s="28">
        <f>+H118+H119+H120+H121+H122</f>
        <v>27620</v>
      </c>
      <c r="I116" s="29">
        <f>+I118+I119+I120+I121+I122</f>
        <v>274</v>
      </c>
      <c r="J116" s="628">
        <f>+C116/$C$208</f>
        <v>8.4671308021532179E-2</v>
      </c>
      <c r="K116" s="628">
        <f>+D116/$D$208</f>
        <v>0.12549603338747295</v>
      </c>
      <c r="L116" s="628">
        <f>+E116/$E$208</f>
        <v>0.23866282298260197</v>
      </c>
      <c r="M116" s="3">
        <f t="shared" si="25"/>
        <v>0</v>
      </c>
    </row>
    <row r="117" spans="1:13" s="36" customFormat="1">
      <c r="A117" s="705" t="s">
        <v>341</v>
      </c>
      <c r="B117" s="706" t="s">
        <v>348</v>
      </c>
      <c r="C117" s="1151">
        <f>+'1.1.mell._ÖNK_Mérleg2019'!C117+'1.2.mell._HKÖH_Mérleg2019'!C117+'1.3.mell._HVÓBKI_Mérleg2019'!C117+'1.4.mell._HKK_Mérleg2019'!C117+'1.5._mell._MŐSZ_Mérleg2019'!C117+'1.6._mell._HVGYKCSSZ_Mérleg2019'!C117</f>
        <v>0</v>
      </c>
      <c r="D117" s="1152">
        <f>+'1.1.mell._ÖNK_Mérleg2019'!D117+'1.2.mell._HKÖH_Mérleg2019'!D117+'1.3.mell._HVÓBKI_Mérleg2019'!D117+'1.4.mell._HKK_Mérleg2019'!D117+'1.5._mell._MŐSZ_Mérleg2019'!D117+'1.6._mell._HVGYKCSSZ_Mérleg2019'!D117</f>
        <v>272137</v>
      </c>
      <c r="E117" s="1152">
        <f>+'1.1.mell._ÖNK_Mérleg2019'!E117+'1.2.mell._HKÖH_Mérleg2019'!E117+'1.3.mell._HVÓBKI_Mérleg2019'!E117+'1.4.mell._HKK_Mérleg2019'!E117+'1.5._mell._MŐSZ_Mérleg2019'!E117+'1.6._mell._HVGYKCSSZ_Mérleg2019'!E117</f>
        <v>272137</v>
      </c>
      <c r="F117" s="1559">
        <f t="shared" si="24"/>
        <v>1</v>
      </c>
      <c r="G117" s="96">
        <f>+'1.1.mell._ÖNK_Mérleg2019'!G117+'1.2.mell._HKÖH_Mérleg2019'!G117+'1.3.mell._HVÓBKI_Mérleg2019'!G117+'1.4.mell._HKK_Mérleg2019'!G117+'1.5._mell._MŐSZ_Mérleg2019'!G117+'1.6._mell._HVGYKCSSZ_Mérleg2019'!G117</f>
        <v>272137</v>
      </c>
      <c r="H117" s="97">
        <f>+'1.1.mell._ÖNK_Mérleg2019'!H117+'1.2.mell._HKÖH_Mérleg2019'!H117+'1.3.mell._HVÓBKI_Mérleg2019'!H117+'1.4.mell._HKK_Mérleg2019'!H117+'1.5._mell._MŐSZ_Mérleg2019'!H117+'1.6._mell._HVGYKCSSZ_Mérleg2019'!H117</f>
        <v>0</v>
      </c>
      <c r="I117" s="98">
        <f>+'1.1.mell._ÖNK_Mérleg2019'!I117+'1.2.mell._HKÖH_Mérleg2019'!I117+'1.3.mell._HVÓBKI_Mérleg2019'!I117+'1.4.mell._HKK_Mérleg2019'!I117+'1.5._mell._MŐSZ_Mérleg2019'!I117+'1.6._mell._HVGYKCSSZ_Mérleg2019'!I117</f>
        <v>0</v>
      </c>
      <c r="M117" s="36">
        <f t="shared" si="25"/>
        <v>0</v>
      </c>
    </row>
    <row r="118" spans="1:13">
      <c r="A118" s="84" t="s">
        <v>61</v>
      </c>
      <c r="B118" s="65" t="s">
        <v>129</v>
      </c>
      <c r="C118" s="1135">
        <f>+'1.1.mell._ÖNK_Mérleg2019'!C118+'1.2.mell._HKÖH_Mérleg2019'!C118+'1.3.mell._HVÓBKI_Mérleg2019'!C118+'1.4.mell._HKK_Mérleg2019'!C118+'1.5._mell._MŐSZ_Mérleg2019'!C118+'1.6._mell._HVGYKCSSZ_Mérleg2019'!C118</f>
        <v>35803</v>
      </c>
      <c r="D118" s="1144">
        <f>+'1.1.mell._ÖNK_Mérleg2019'!D118+'1.2.mell._HKÖH_Mérleg2019'!D118+'1.3.mell._HVÓBKI_Mérleg2019'!D118+'1.4.mell._HKK_Mérleg2019'!D118+'1.5._mell._MŐSZ_Mérleg2019'!D118+'1.6._mell._HVGYKCSSZ_Mérleg2019'!D118</f>
        <v>85222</v>
      </c>
      <c r="E118" s="1144">
        <f>+'1.1.mell._ÖNK_Mérleg2019'!E118+'1.2.mell._HKÖH_Mérleg2019'!E118+'1.3.mell._HVÓBKI_Mérleg2019'!E118+'1.4.mell._HKK_Mérleg2019'!E118+'1.5._mell._MŐSZ_Mérleg2019'!E118+'1.6._mell._HVGYKCSSZ_Mérleg2019'!E118</f>
        <v>76493</v>
      </c>
      <c r="F118" s="1560">
        <f t="shared" si="24"/>
        <v>0.89757339654079937</v>
      </c>
      <c r="G118" s="34">
        <f>+'1.1.mell._ÖNK_Mérleg2019'!G118+'1.2.mell._HKÖH_Mérleg2019'!G118+'1.3.mell._HVÓBKI_Mérleg2019'!G118+'1.4.mell._HKK_Mérleg2019'!G118+'1.5._mell._MŐSZ_Mérleg2019'!G118+'1.6._mell._HVGYKCSSZ_Mérleg2019'!G118</f>
        <v>60771</v>
      </c>
      <c r="H118" s="10">
        <f>+'1.1.mell._ÖNK_Mérleg2019'!H118+'1.2.mell._HKÖH_Mérleg2019'!H118+'1.3.mell._HVÓBKI_Mérleg2019'!H118+'1.4.mell._HKK_Mérleg2019'!H118+'1.5._mell._MŐSZ_Mérleg2019'!H118+'1.6._mell._HVGYKCSSZ_Mérleg2019'!H118</f>
        <v>15599</v>
      </c>
      <c r="I118" s="35">
        <f>+'1.1.mell._ÖNK_Mérleg2019'!I118+'1.2.mell._HKÖH_Mérleg2019'!I118+'1.3.mell._HVÓBKI_Mérleg2019'!I118+'1.4.mell._HKK_Mérleg2019'!I118+'1.5._mell._MŐSZ_Mérleg2019'!I118+'1.6._mell._HVGYKCSSZ_Mérleg2019'!I118</f>
        <v>123</v>
      </c>
      <c r="M118" s="4">
        <f t="shared" si="25"/>
        <v>0</v>
      </c>
    </row>
    <row r="119" spans="1:13">
      <c r="A119" s="85" t="s">
        <v>62</v>
      </c>
      <c r="B119" s="67" t="s">
        <v>130</v>
      </c>
      <c r="C119" s="1137">
        <f>+'1.1.mell._ÖNK_Mérleg2019'!C119+'1.2.mell._HKÖH_Mérleg2019'!C119+'1.3.mell._HVÓBKI_Mérleg2019'!C119+'1.4.mell._HKK_Mérleg2019'!C119+'1.5._mell._MŐSZ_Mérleg2019'!C119+'1.6._mell._HVGYKCSSZ_Mérleg2019'!C119</f>
        <v>27174</v>
      </c>
      <c r="D119" s="1146">
        <f>+'1.1.mell._ÖNK_Mérleg2019'!D119+'1.2.mell._HKÖH_Mérleg2019'!D119+'1.3.mell._HVÓBKI_Mérleg2019'!D119+'1.4.mell._HKK_Mérleg2019'!D119+'1.5._mell._MŐSZ_Mérleg2019'!D119+'1.6._mell._HVGYKCSSZ_Mérleg2019'!D119</f>
        <v>27326</v>
      </c>
      <c r="E119" s="1146">
        <f>+'1.1.mell._ÖNK_Mérleg2019'!E119+'1.2.mell._HKÖH_Mérleg2019'!E119+'1.3.mell._HVÓBKI_Mérleg2019'!E119+'1.4.mell._HKK_Mérleg2019'!E119+'1.5._mell._MŐSZ_Mérleg2019'!E119+'1.6._mell._HVGYKCSSZ_Mérleg2019'!E119</f>
        <v>25144</v>
      </c>
      <c r="F119" s="1562">
        <f t="shared" si="24"/>
        <v>0.92014930835102104</v>
      </c>
      <c r="G119" s="20">
        <f>+'1.1.mell._ÖNK_Mérleg2019'!G119+'1.2.mell._HKÖH_Mérleg2019'!G119+'1.3.mell._HVÓBKI_Mérleg2019'!G119+'1.4.mell._HKK_Mérleg2019'!G119+'1.5._mell._MŐSZ_Mérleg2019'!G119+'1.6._mell._HVGYKCSSZ_Mérleg2019'!G119</f>
        <v>25136</v>
      </c>
      <c r="H119" s="11">
        <f>+'1.1.mell._ÖNK_Mérleg2019'!H119+'1.2.mell._HKÖH_Mérleg2019'!H119+'1.3.mell._HVÓBKI_Mérleg2019'!H119+'1.4.mell._HKK_Mérleg2019'!H119+'1.5._mell._MŐSZ_Mérleg2019'!H119+'1.6._mell._HVGYKCSSZ_Mérleg2019'!H119</f>
        <v>8</v>
      </c>
      <c r="I119" s="16">
        <f>+'1.1.mell._ÖNK_Mérleg2019'!I119+'1.2.mell._HKÖH_Mérleg2019'!I119+'1.3.mell._HVÓBKI_Mérleg2019'!I119+'1.4.mell._HKK_Mérleg2019'!I119+'1.5._mell._MŐSZ_Mérleg2019'!I119+'1.6._mell._HVGYKCSSZ_Mérleg2019'!I119</f>
        <v>0</v>
      </c>
      <c r="M119" s="4">
        <f t="shared" si="25"/>
        <v>0</v>
      </c>
    </row>
    <row r="120" spans="1:13">
      <c r="A120" s="85" t="s">
        <v>63</v>
      </c>
      <c r="B120" s="67" t="s">
        <v>131</v>
      </c>
      <c r="C120" s="1137">
        <f>+'1.1.mell._ÖNK_Mérleg2019'!C120+'1.2.mell._HKÖH_Mérleg2019'!C120+'1.3.mell._HVÓBKI_Mérleg2019'!C120+'1.4.mell._HKK_Mérleg2019'!C120+'1.5._mell._MŐSZ_Mérleg2019'!C120+'1.6._mell._HVGYKCSSZ_Mérleg2019'!C120</f>
        <v>229364</v>
      </c>
      <c r="D120" s="1146">
        <f>+'1.1.mell._ÖNK_Mérleg2019'!D120+'1.2.mell._HKÖH_Mérleg2019'!D120+'1.3.mell._HVÓBKI_Mérleg2019'!D120+'1.4.mell._HKK_Mérleg2019'!D120+'1.5._mell._MŐSZ_Mérleg2019'!D120+'1.6._mell._HVGYKCSSZ_Mérleg2019'!D120</f>
        <v>479889</v>
      </c>
      <c r="E120" s="1146">
        <f>+'1.1.mell._ÖNK_Mérleg2019'!E120+'1.2.mell._HKÖH_Mérleg2019'!E120+'1.3.mell._HVÓBKI_Mérleg2019'!E120+'1.4.mell._HKK_Mérleg2019'!E120+'1.5._mell._MŐSZ_Mérleg2019'!E120+'1.6._mell._HVGYKCSSZ_Mérleg2019'!E120</f>
        <v>430183</v>
      </c>
      <c r="F120" s="1562">
        <f t="shared" si="24"/>
        <v>0.89642188089328989</v>
      </c>
      <c r="G120" s="20">
        <f>+'1.1.mell._ÖNK_Mérleg2019'!G120+'1.2.mell._HKÖH_Mérleg2019'!G120+'1.3.mell._HVÓBKI_Mérleg2019'!G120+'1.4.mell._HKK_Mérleg2019'!G120+'1.5._mell._MŐSZ_Mérleg2019'!G120+'1.6._mell._HVGYKCSSZ_Mérleg2019'!G120</f>
        <v>423651</v>
      </c>
      <c r="H120" s="11">
        <f>+'1.1.mell._ÖNK_Mérleg2019'!H120+'1.2.mell._HKÖH_Mérleg2019'!H120+'1.3.mell._HVÓBKI_Mérleg2019'!H120+'1.4.mell._HKK_Mérleg2019'!H120+'1.5._mell._MŐSZ_Mérleg2019'!H120+'1.6._mell._HVGYKCSSZ_Mérleg2019'!H120</f>
        <v>6530</v>
      </c>
      <c r="I120" s="16">
        <f>+'1.1.mell._ÖNK_Mérleg2019'!I120+'1.2.mell._HKÖH_Mérleg2019'!I120+'1.3.mell._HVÓBKI_Mérleg2019'!I120+'1.4.mell._HKK_Mérleg2019'!I120+'1.5._mell._MŐSZ_Mérleg2019'!I120+'1.6._mell._HVGYKCSSZ_Mérleg2019'!I120</f>
        <v>2</v>
      </c>
      <c r="M120" s="4">
        <f t="shared" si="25"/>
        <v>0</v>
      </c>
    </row>
    <row r="121" spans="1:13">
      <c r="A121" s="85" t="s">
        <v>64</v>
      </c>
      <c r="B121" s="67" t="s">
        <v>132</v>
      </c>
      <c r="C121" s="1137">
        <f>+'1.1.mell._ÖNK_Mérleg2019'!C121+'1.2.mell._HKÖH_Mérleg2019'!C121+'1.3.mell._HVÓBKI_Mérleg2019'!C121+'1.4.mell._HKK_Mérleg2019'!C121+'1.5._mell._MŐSZ_Mérleg2019'!C121+'1.6._mell._HVGYKCSSZ_Mérleg2019'!C121</f>
        <v>1940</v>
      </c>
      <c r="D121" s="1146">
        <f>+'1.1.mell._ÖNK_Mérleg2019'!D121+'1.2.mell._HKÖH_Mérleg2019'!D121+'1.3.mell._HVÓBKI_Mérleg2019'!D121+'1.4.mell._HKK_Mérleg2019'!D121+'1.5._mell._MŐSZ_Mérleg2019'!D121+'1.6._mell._HVGYKCSSZ_Mérleg2019'!D121</f>
        <v>7173</v>
      </c>
      <c r="E121" s="1146">
        <f>+'1.1.mell._ÖNK_Mérleg2019'!E121+'1.2.mell._HKÖH_Mérleg2019'!E121+'1.3.mell._HVÓBKI_Mérleg2019'!E121+'1.4.mell._HKK_Mérleg2019'!E121+'1.5._mell._MŐSZ_Mérleg2019'!E121+'1.6._mell._HVGYKCSSZ_Mérleg2019'!E121</f>
        <v>6254</v>
      </c>
      <c r="F121" s="1562">
        <f t="shared" si="24"/>
        <v>0.8718806635996097</v>
      </c>
      <c r="G121" s="20">
        <f>+'1.1.mell._ÖNK_Mérleg2019'!G121+'1.2.mell._HKÖH_Mérleg2019'!G121+'1.3.mell._HVÓBKI_Mérleg2019'!G121+'1.4.mell._HKK_Mérleg2019'!G121+'1.5._mell._MŐSZ_Mérleg2019'!G121+'1.6._mell._HVGYKCSSZ_Mérleg2019'!G121</f>
        <v>5589</v>
      </c>
      <c r="H121" s="11">
        <f>+'1.1.mell._ÖNK_Mérleg2019'!H121+'1.2.mell._HKÖH_Mérleg2019'!H121+'1.3.mell._HVÓBKI_Mérleg2019'!H121+'1.4.mell._HKK_Mérleg2019'!H121+'1.5._mell._MŐSZ_Mérleg2019'!H121+'1.6._mell._HVGYKCSSZ_Mérleg2019'!H121</f>
        <v>665</v>
      </c>
      <c r="I121" s="16">
        <f>+'1.1.mell._ÖNK_Mérleg2019'!I121+'1.2.mell._HKÖH_Mérleg2019'!I121+'1.3.mell._HVÓBKI_Mérleg2019'!I121+'1.4.mell._HKK_Mérleg2019'!I121+'1.5._mell._MŐSZ_Mérleg2019'!I121+'1.6._mell._HVGYKCSSZ_Mérleg2019'!I121</f>
        <v>0</v>
      </c>
      <c r="M121" s="4">
        <f t="shared" si="25"/>
        <v>0</v>
      </c>
    </row>
    <row r="122" spans="1:13" ht="12.75" thickBot="1">
      <c r="A122" s="78" t="s">
        <v>65</v>
      </c>
      <c r="B122" s="68" t="s">
        <v>133</v>
      </c>
      <c r="C122" s="1138">
        <f>+'1.1.mell._ÖNK_Mérleg2019'!C122+'1.2.mell._HKÖH_Mérleg2019'!C122+'1.3.mell._HVÓBKI_Mérleg2019'!C122+'1.4.mell._HKK_Mérleg2019'!C122+'1.5._mell._MŐSZ_Mérleg2019'!C122+'1.6._mell._HVGYKCSSZ_Mérleg2019'!C122</f>
        <v>97173</v>
      </c>
      <c r="D122" s="1147">
        <f>+'1.1.mell._ÖNK_Mérleg2019'!D122+'1.2.mell._HKÖH_Mérleg2019'!D122+'1.3.mell._HVÓBKI_Mérleg2019'!D122+'1.4.mell._HKK_Mérleg2019'!D122+'1.5._mell._MŐSZ_Mérleg2019'!D122+'1.6._mell._HVGYKCSSZ_Mérleg2019'!D122</f>
        <v>234718</v>
      </c>
      <c r="E122" s="1147">
        <f>+'1.1.mell._ÖNK_Mérleg2019'!E122+'1.2.mell._HKÖH_Mérleg2019'!E122+'1.3.mell._HVÓBKI_Mérleg2019'!E122+'1.4.mell._HKK_Mérleg2019'!E122+'1.5._mell._MŐSZ_Mérleg2019'!E122+'1.6._mell._HVGYKCSSZ_Mérleg2019'!E122</f>
        <v>207612</v>
      </c>
      <c r="F122" s="1561">
        <f t="shared" si="24"/>
        <v>0.88451673923601937</v>
      </c>
      <c r="G122" s="21">
        <f>+'1.1.mell._ÖNK_Mérleg2019'!G122+'1.2.mell._HKÖH_Mérleg2019'!G122+'1.3.mell._HVÓBKI_Mérleg2019'!G122+'1.4.mell._HKK_Mérleg2019'!G122+'1.5._mell._MŐSZ_Mérleg2019'!G122+'1.6._mell._HVGYKCSSZ_Mérleg2019'!G122</f>
        <v>202645</v>
      </c>
      <c r="H122" s="22">
        <f>+'1.1.mell._ÖNK_Mérleg2019'!H122+'1.2.mell._HKÖH_Mérleg2019'!H122+'1.3.mell._HVÓBKI_Mérleg2019'!H122+'1.4.mell._HKK_Mérleg2019'!H122+'1.5._mell._MŐSZ_Mérleg2019'!H122+'1.6._mell._HVGYKCSSZ_Mérleg2019'!H122</f>
        <v>4818</v>
      </c>
      <c r="I122" s="23">
        <f>+'1.1.mell._ÖNK_Mérleg2019'!I122+'1.2.mell._HKÖH_Mérleg2019'!I122+'1.3.mell._HVÓBKI_Mérleg2019'!I122+'1.4.mell._HKK_Mérleg2019'!I122+'1.5._mell._MŐSZ_Mérleg2019'!I122+'1.6._mell._HVGYKCSSZ_Mérleg2019'!I122</f>
        <v>149</v>
      </c>
      <c r="M122" s="4">
        <f t="shared" si="25"/>
        <v>0</v>
      </c>
    </row>
    <row r="123" spans="1:13" s="3" customFormat="1" ht="12.75" thickBot="1">
      <c r="A123" s="83" t="s">
        <v>16</v>
      </c>
      <c r="B123" s="64" t="s">
        <v>310</v>
      </c>
      <c r="C123" s="1134">
        <f t="shared" ref="C123:E123" si="28">+C124+C125+C126+C127+C128+C129+C130+C131</f>
        <v>57543</v>
      </c>
      <c r="D123" s="1143">
        <f t="shared" si="28"/>
        <v>43459</v>
      </c>
      <c r="E123" s="1143">
        <f t="shared" si="28"/>
        <v>43161</v>
      </c>
      <c r="F123" s="1558">
        <f t="shared" si="24"/>
        <v>0.99314296233231325</v>
      </c>
      <c r="G123" s="27">
        <f>+G124+G125+G126+G127+G128+G129+G130+G131</f>
        <v>43161</v>
      </c>
      <c r="H123" s="28">
        <f>+H124+H125+H126+H127+H128+H129+H130+H131</f>
        <v>0</v>
      </c>
      <c r="I123" s="29">
        <f>+I124+I125+I126+I127+I128+I129+I130+I131</f>
        <v>0</v>
      </c>
      <c r="J123" s="628">
        <f>+C123/$C$208</f>
        <v>1.244652265012754E-2</v>
      </c>
      <c r="K123" s="628">
        <f>+D123/$D$208</f>
        <v>6.5369160749563565E-3</v>
      </c>
      <c r="L123" s="628">
        <f>+E123/$E$208</f>
        <v>1.3814026416953092E-2</v>
      </c>
      <c r="M123" s="3">
        <f t="shared" si="25"/>
        <v>0</v>
      </c>
    </row>
    <row r="124" spans="1:13">
      <c r="A124" s="84" t="s">
        <v>227</v>
      </c>
      <c r="B124" s="65" t="s">
        <v>134</v>
      </c>
      <c r="C124" s="1135">
        <f>+'1.1.mell._ÖNK_Mérleg2019'!C124+'1.2.mell._HKÖH_Mérleg2019'!C124+'1.3.mell._HVÓBKI_Mérleg2019'!C124+'1.4.mell._HKK_Mérleg2019'!C124+'1.5._mell._MŐSZ_Mérleg2019'!C124+'1.6._mell._HVGYKCSSZ_Mérleg2019'!C124</f>
        <v>0</v>
      </c>
      <c r="D124" s="1144">
        <f>+'1.1.mell._ÖNK_Mérleg2019'!D124+'1.2.mell._HKÖH_Mérleg2019'!D124+'1.3.mell._HVÓBKI_Mérleg2019'!D124+'1.4.mell._HKK_Mérleg2019'!D124+'1.5._mell._MŐSZ_Mérleg2019'!D124+'1.6._mell._HVGYKCSSZ_Mérleg2019'!D124</f>
        <v>0</v>
      </c>
      <c r="E124" s="1144">
        <f>+'1.1.mell._ÖNK_Mérleg2019'!E124+'1.2.mell._HKÖH_Mérleg2019'!E124+'1.3.mell._HVÓBKI_Mérleg2019'!E124+'1.4.mell._HKK_Mérleg2019'!E124+'1.5._mell._MŐSZ_Mérleg2019'!E124+'1.6._mell._HVGYKCSSZ_Mérleg2019'!E124</f>
        <v>0</v>
      </c>
      <c r="F124" s="1560" t="str">
        <f t="shared" si="24"/>
        <v>-</v>
      </c>
      <c r="G124" s="34">
        <f>+'1.1.mell._ÖNK_Mérleg2019'!G124+'1.2.mell._HKÖH_Mérleg2019'!G124+'1.3.mell._HVÓBKI_Mérleg2019'!G124+'1.4.mell._HKK_Mérleg2019'!G124+'1.5._mell._MŐSZ_Mérleg2019'!G124+'1.6._mell._HVGYKCSSZ_Mérleg2019'!G124</f>
        <v>0</v>
      </c>
      <c r="H124" s="10">
        <f>+'1.1.mell._ÖNK_Mérleg2019'!H124+'1.2.mell._HKÖH_Mérleg2019'!H124+'1.3.mell._HVÓBKI_Mérleg2019'!H124+'1.4.mell._HKK_Mérleg2019'!H124+'1.5._mell._MŐSZ_Mérleg2019'!H124+'1.6._mell._HVGYKCSSZ_Mérleg2019'!H124</f>
        <v>0</v>
      </c>
      <c r="I124" s="35">
        <f>+'1.1.mell._ÖNK_Mérleg2019'!I124+'1.2.mell._HKÖH_Mérleg2019'!I124+'1.3.mell._HVÓBKI_Mérleg2019'!I124+'1.4.mell._HKK_Mérleg2019'!I124+'1.5._mell._MŐSZ_Mérleg2019'!I124+'1.6._mell._HVGYKCSSZ_Mérleg2019'!I124</f>
        <v>0</v>
      </c>
      <c r="M124" s="4">
        <f t="shared" si="25"/>
        <v>0</v>
      </c>
    </row>
    <row r="125" spans="1:13">
      <c r="A125" s="85" t="s">
        <v>228</v>
      </c>
      <c r="B125" s="67" t="s">
        <v>135</v>
      </c>
      <c r="C125" s="1137">
        <f>+'1.1.mell._ÖNK_Mérleg2019'!C125+'1.2.mell._HKÖH_Mérleg2019'!C125+'1.3.mell._HVÓBKI_Mérleg2019'!C125+'1.4.mell._HKK_Mérleg2019'!C125+'1.5._mell._MŐSZ_Mérleg2019'!C125+'1.6._mell._HVGYKCSSZ_Mérleg2019'!C125</f>
        <v>0</v>
      </c>
      <c r="D125" s="1146">
        <f>+'1.1.mell._ÖNK_Mérleg2019'!D125+'1.2.mell._HKÖH_Mérleg2019'!D125+'1.3.mell._HVÓBKI_Mérleg2019'!D125+'1.4.mell._HKK_Mérleg2019'!D125+'1.5._mell._MŐSZ_Mérleg2019'!D125+'1.6._mell._HVGYKCSSZ_Mérleg2019'!D125</f>
        <v>0</v>
      </c>
      <c r="E125" s="1146">
        <f>+'1.1.mell._ÖNK_Mérleg2019'!E125+'1.2.mell._HKÖH_Mérleg2019'!E125+'1.3.mell._HVÓBKI_Mérleg2019'!E125+'1.4.mell._HKK_Mérleg2019'!E125+'1.5._mell._MŐSZ_Mérleg2019'!E125+'1.6._mell._HVGYKCSSZ_Mérleg2019'!E125</f>
        <v>0</v>
      </c>
      <c r="F125" s="1562" t="str">
        <f t="shared" si="24"/>
        <v>-</v>
      </c>
      <c r="G125" s="20">
        <f>+'1.1.mell._ÖNK_Mérleg2019'!G125+'1.2.mell._HKÖH_Mérleg2019'!G125+'1.3.mell._HVÓBKI_Mérleg2019'!G125+'1.4.mell._HKK_Mérleg2019'!G125+'1.5._mell._MŐSZ_Mérleg2019'!G125+'1.6._mell._HVGYKCSSZ_Mérleg2019'!G125</f>
        <v>0</v>
      </c>
      <c r="H125" s="11">
        <f>+'1.1.mell._ÖNK_Mérleg2019'!H125+'1.2.mell._HKÖH_Mérleg2019'!H125+'1.3.mell._HVÓBKI_Mérleg2019'!H125+'1.4.mell._HKK_Mérleg2019'!H125+'1.5._mell._MŐSZ_Mérleg2019'!H125+'1.6._mell._HVGYKCSSZ_Mérleg2019'!H125</f>
        <v>0</v>
      </c>
      <c r="I125" s="16">
        <f>+'1.1.mell._ÖNK_Mérleg2019'!I125+'1.2.mell._HKÖH_Mérleg2019'!I125+'1.3.mell._HVÓBKI_Mérleg2019'!I125+'1.4.mell._HKK_Mérleg2019'!I125+'1.5._mell._MŐSZ_Mérleg2019'!I125+'1.6._mell._HVGYKCSSZ_Mérleg2019'!I125</f>
        <v>0</v>
      </c>
      <c r="M125" s="4">
        <f t="shared" si="25"/>
        <v>0</v>
      </c>
    </row>
    <row r="126" spans="1:13">
      <c r="A126" s="85" t="s">
        <v>229</v>
      </c>
      <c r="B126" s="67" t="s">
        <v>136</v>
      </c>
      <c r="C126" s="1137">
        <f>+'1.1.mell._ÖNK_Mérleg2019'!C126+'1.2.mell._HKÖH_Mérleg2019'!C126+'1.3.mell._HVÓBKI_Mérleg2019'!C126+'1.4.mell._HKK_Mérleg2019'!C126+'1.5._mell._MŐSZ_Mérleg2019'!C126+'1.6._mell._HVGYKCSSZ_Mérleg2019'!C126</f>
        <v>0</v>
      </c>
      <c r="D126" s="1146">
        <f>+'1.1.mell._ÖNK_Mérleg2019'!D126+'1.2.mell._HKÖH_Mérleg2019'!D126+'1.3.mell._HVÓBKI_Mérleg2019'!D126+'1.4.mell._HKK_Mérleg2019'!D126+'1.5._mell._MŐSZ_Mérleg2019'!D126+'1.6._mell._HVGYKCSSZ_Mérleg2019'!D126</f>
        <v>0</v>
      </c>
      <c r="E126" s="1146">
        <f>+'1.1.mell._ÖNK_Mérleg2019'!E126+'1.2.mell._HKÖH_Mérleg2019'!E126+'1.3.mell._HVÓBKI_Mérleg2019'!E126+'1.4.mell._HKK_Mérleg2019'!E126+'1.5._mell._MŐSZ_Mérleg2019'!E126+'1.6._mell._HVGYKCSSZ_Mérleg2019'!E126</f>
        <v>0</v>
      </c>
      <c r="F126" s="1562" t="str">
        <f t="shared" si="24"/>
        <v>-</v>
      </c>
      <c r="G126" s="20">
        <f>+'1.1.mell._ÖNK_Mérleg2019'!G126+'1.2.mell._HKÖH_Mérleg2019'!G126+'1.3.mell._HVÓBKI_Mérleg2019'!G126+'1.4.mell._HKK_Mérleg2019'!G126+'1.5._mell._MŐSZ_Mérleg2019'!G126+'1.6._mell._HVGYKCSSZ_Mérleg2019'!G126</f>
        <v>0</v>
      </c>
      <c r="H126" s="11">
        <f>+'1.1.mell._ÖNK_Mérleg2019'!H126+'1.2.mell._HKÖH_Mérleg2019'!H126+'1.3.mell._HVÓBKI_Mérleg2019'!H126+'1.4.mell._HKK_Mérleg2019'!H126+'1.5._mell._MŐSZ_Mérleg2019'!H126+'1.6._mell._HVGYKCSSZ_Mérleg2019'!H126</f>
        <v>0</v>
      </c>
      <c r="I126" s="16">
        <f>+'1.1.mell._ÖNK_Mérleg2019'!I126+'1.2.mell._HKÖH_Mérleg2019'!I126+'1.3.mell._HVÓBKI_Mérleg2019'!I126+'1.4.mell._HKK_Mérleg2019'!I126+'1.5._mell._MŐSZ_Mérleg2019'!I126+'1.6._mell._HVGYKCSSZ_Mérleg2019'!I126</f>
        <v>0</v>
      </c>
      <c r="M126" s="4">
        <f t="shared" si="25"/>
        <v>0</v>
      </c>
    </row>
    <row r="127" spans="1:13">
      <c r="A127" s="85" t="s">
        <v>257</v>
      </c>
      <c r="B127" s="67" t="s">
        <v>137</v>
      </c>
      <c r="C127" s="1137">
        <f>+'1.1.mell._ÖNK_Mérleg2019'!C127+'1.2.mell._HKÖH_Mérleg2019'!C127+'1.3.mell._HVÓBKI_Mérleg2019'!C127+'1.4.mell._HKK_Mérleg2019'!C127+'1.5._mell._MŐSZ_Mérleg2019'!C127+'1.6._mell._HVGYKCSSZ_Mérleg2019'!C127</f>
        <v>2400</v>
      </c>
      <c r="D127" s="1146">
        <f>+'1.1.mell._ÖNK_Mérleg2019'!D127+'1.2.mell._HKÖH_Mérleg2019'!D127+'1.3.mell._HVÓBKI_Mérleg2019'!D127+'1.4.mell._HKK_Mérleg2019'!D127+'1.5._mell._MŐSZ_Mérleg2019'!D127+'1.6._mell._HVGYKCSSZ_Mérleg2019'!D127</f>
        <v>0</v>
      </c>
      <c r="E127" s="1146">
        <f>+'1.1.mell._ÖNK_Mérleg2019'!E127+'1.2.mell._HKÖH_Mérleg2019'!E127+'1.3.mell._HVÓBKI_Mérleg2019'!E127+'1.4.mell._HKK_Mérleg2019'!E127+'1.5._mell._MŐSZ_Mérleg2019'!E127+'1.6._mell._HVGYKCSSZ_Mérleg2019'!E127</f>
        <v>0</v>
      </c>
      <c r="F127" s="1562" t="str">
        <f t="shared" si="24"/>
        <v>-</v>
      </c>
      <c r="G127" s="20">
        <f>+'1.1.mell._ÖNK_Mérleg2019'!G127+'1.2.mell._HKÖH_Mérleg2019'!G127+'1.3.mell._HVÓBKI_Mérleg2019'!G127+'1.4.mell._HKK_Mérleg2019'!G127+'1.5._mell._MŐSZ_Mérleg2019'!G127+'1.6._mell._HVGYKCSSZ_Mérleg2019'!G127</f>
        <v>0</v>
      </c>
      <c r="H127" s="11">
        <f>+'1.1.mell._ÖNK_Mérleg2019'!H127+'1.2.mell._HKÖH_Mérleg2019'!H127+'1.3.mell._HVÓBKI_Mérleg2019'!H127+'1.4.mell._HKK_Mérleg2019'!H127+'1.5._mell._MŐSZ_Mérleg2019'!H127+'1.6._mell._HVGYKCSSZ_Mérleg2019'!H127</f>
        <v>0</v>
      </c>
      <c r="I127" s="16">
        <f>+'1.1.mell._ÖNK_Mérleg2019'!I127+'1.2.mell._HKÖH_Mérleg2019'!I127+'1.3.mell._HVÓBKI_Mérleg2019'!I127+'1.4.mell._HKK_Mérleg2019'!I127+'1.5._mell._MŐSZ_Mérleg2019'!I127+'1.6._mell._HVGYKCSSZ_Mérleg2019'!I127</f>
        <v>0</v>
      </c>
      <c r="M127" s="4">
        <f t="shared" si="25"/>
        <v>0</v>
      </c>
    </row>
    <row r="128" spans="1:13">
      <c r="A128" s="85" t="s">
        <v>258</v>
      </c>
      <c r="B128" s="67" t="s">
        <v>138</v>
      </c>
      <c r="C128" s="1137">
        <f>+'1.1.mell._ÖNK_Mérleg2019'!C128+'1.2.mell._HKÖH_Mérleg2019'!C128+'1.3.mell._HVÓBKI_Mérleg2019'!C128+'1.4.mell._HKK_Mérleg2019'!C128+'1.5._mell._MŐSZ_Mérleg2019'!C128+'1.6._mell._HVGYKCSSZ_Mérleg2019'!C128</f>
        <v>0</v>
      </c>
      <c r="D128" s="1146">
        <f>+'1.1.mell._ÖNK_Mérleg2019'!D128+'1.2.mell._HKÖH_Mérleg2019'!D128+'1.3.mell._HVÓBKI_Mérleg2019'!D128+'1.4.mell._HKK_Mérleg2019'!D128+'1.5._mell._MŐSZ_Mérleg2019'!D128+'1.6._mell._HVGYKCSSZ_Mérleg2019'!D128</f>
        <v>0</v>
      </c>
      <c r="E128" s="1146">
        <f>+'1.1.mell._ÖNK_Mérleg2019'!E128+'1.2.mell._HKÖH_Mérleg2019'!E128+'1.3.mell._HVÓBKI_Mérleg2019'!E128+'1.4.mell._HKK_Mérleg2019'!E128+'1.5._mell._MŐSZ_Mérleg2019'!E128+'1.6._mell._HVGYKCSSZ_Mérleg2019'!E128</f>
        <v>0</v>
      </c>
      <c r="F128" s="1562" t="str">
        <f t="shared" si="24"/>
        <v>-</v>
      </c>
      <c r="G128" s="20">
        <f>+'1.1.mell._ÖNK_Mérleg2019'!G128+'1.2.mell._HKÖH_Mérleg2019'!G128+'1.3.mell._HVÓBKI_Mérleg2019'!G128+'1.4.mell._HKK_Mérleg2019'!G128+'1.5._mell._MŐSZ_Mérleg2019'!G128+'1.6._mell._HVGYKCSSZ_Mérleg2019'!G128</f>
        <v>0</v>
      </c>
      <c r="H128" s="11">
        <f>+'1.1.mell._ÖNK_Mérleg2019'!H128+'1.2.mell._HKÖH_Mérleg2019'!H128+'1.3.mell._HVÓBKI_Mérleg2019'!H128+'1.4.mell._HKK_Mérleg2019'!H128+'1.5._mell._MŐSZ_Mérleg2019'!H128+'1.6._mell._HVGYKCSSZ_Mérleg2019'!H128</f>
        <v>0</v>
      </c>
      <c r="I128" s="16">
        <f>+'1.1.mell._ÖNK_Mérleg2019'!I128+'1.2.mell._HKÖH_Mérleg2019'!I128+'1.3.mell._HVÓBKI_Mérleg2019'!I128+'1.4.mell._HKK_Mérleg2019'!I128+'1.5._mell._MŐSZ_Mérleg2019'!I128+'1.6._mell._HVGYKCSSZ_Mérleg2019'!I128</f>
        <v>0</v>
      </c>
      <c r="M128" s="4">
        <f t="shared" si="25"/>
        <v>0</v>
      </c>
    </row>
    <row r="129" spans="1:13">
      <c r="A129" s="85" t="s">
        <v>259</v>
      </c>
      <c r="B129" s="67" t="s">
        <v>139</v>
      </c>
      <c r="C129" s="1137">
        <f>+'1.1.mell._ÖNK_Mérleg2019'!C129+'1.2.mell._HKÖH_Mérleg2019'!C129+'1.3.mell._HVÓBKI_Mérleg2019'!C129+'1.4.mell._HKK_Mérleg2019'!C129+'1.5._mell._MŐSZ_Mérleg2019'!C129+'1.6._mell._HVGYKCSSZ_Mérleg2019'!C129</f>
        <v>19800</v>
      </c>
      <c r="D129" s="1146">
        <f>+'1.1.mell._ÖNK_Mérleg2019'!D129+'1.2.mell._HKÖH_Mérleg2019'!D129+'1.3.mell._HVÓBKI_Mérleg2019'!D129+'1.4.mell._HKK_Mérleg2019'!D129+'1.5._mell._MŐSZ_Mérleg2019'!D129+'1.6._mell._HVGYKCSSZ_Mérleg2019'!D129</f>
        <v>0</v>
      </c>
      <c r="E129" s="1146">
        <f>+'1.1.mell._ÖNK_Mérleg2019'!E129+'1.2.mell._HKÖH_Mérleg2019'!E129+'1.3.mell._HVÓBKI_Mérleg2019'!E129+'1.4.mell._HKK_Mérleg2019'!E129+'1.5._mell._MŐSZ_Mérleg2019'!E129+'1.6._mell._HVGYKCSSZ_Mérleg2019'!E129</f>
        <v>0</v>
      </c>
      <c r="F129" s="1562" t="str">
        <f t="shared" si="24"/>
        <v>-</v>
      </c>
      <c r="G129" s="20">
        <f>+'1.1.mell._ÖNK_Mérleg2019'!G129+'1.2.mell._HKÖH_Mérleg2019'!G129+'1.3.mell._HVÓBKI_Mérleg2019'!G129+'1.4.mell._HKK_Mérleg2019'!G129+'1.5._mell._MŐSZ_Mérleg2019'!G129+'1.6._mell._HVGYKCSSZ_Mérleg2019'!G129</f>
        <v>0</v>
      </c>
      <c r="H129" s="11">
        <f>+'1.1.mell._ÖNK_Mérleg2019'!H129+'1.2.mell._HKÖH_Mérleg2019'!H129+'1.3.mell._HVÓBKI_Mérleg2019'!H129+'1.4.mell._HKK_Mérleg2019'!H129+'1.5._mell._MŐSZ_Mérleg2019'!H129+'1.6._mell._HVGYKCSSZ_Mérleg2019'!H129</f>
        <v>0</v>
      </c>
      <c r="I129" s="16">
        <f>+'1.1.mell._ÖNK_Mérleg2019'!I129+'1.2.mell._HKÖH_Mérleg2019'!I129+'1.3.mell._HVÓBKI_Mérleg2019'!I129+'1.4.mell._HKK_Mérleg2019'!I129+'1.5._mell._MŐSZ_Mérleg2019'!I129+'1.6._mell._HVGYKCSSZ_Mérleg2019'!I129</f>
        <v>0</v>
      </c>
      <c r="M129" s="4">
        <f t="shared" si="25"/>
        <v>0</v>
      </c>
    </row>
    <row r="130" spans="1:13">
      <c r="A130" s="85" t="s">
        <v>260</v>
      </c>
      <c r="B130" s="67" t="s">
        <v>140</v>
      </c>
      <c r="C130" s="1137">
        <f>+'1.1.mell._ÖNK_Mérleg2019'!C130+'1.2.mell._HKÖH_Mérleg2019'!C130+'1.3.mell._HVÓBKI_Mérleg2019'!C130+'1.4.mell._HKK_Mérleg2019'!C130+'1.5._mell._MŐSZ_Mérleg2019'!C130+'1.6._mell._HVGYKCSSZ_Mérleg2019'!C130</f>
        <v>13143</v>
      </c>
      <c r="D130" s="1146">
        <f>+'1.1.mell._ÖNK_Mérleg2019'!D130+'1.2.mell._HKÖH_Mérleg2019'!D130+'1.3.mell._HVÓBKI_Mérleg2019'!D130+'1.4.mell._HKK_Mérleg2019'!D130+'1.5._mell._MŐSZ_Mérleg2019'!D130+'1.6._mell._HVGYKCSSZ_Mérleg2019'!D130</f>
        <v>2461</v>
      </c>
      <c r="E130" s="1146">
        <f>+'1.1.mell._ÖNK_Mérleg2019'!E130+'1.2.mell._HKÖH_Mérleg2019'!E130+'1.3.mell._HVÓBKI_Mérleg2019'!E130+'1.4.mell._HKK_Mérleg2019'!E130+'1.5._mell._MŐSZ_Mérleg2019'!E130+'1.6._mell._HVGYKCSSZ_Mérleg2019'!E130</f>
        <v>2461</v>
      </c>
      <c r="F130" s="1562">
        <f t="shared" si="24"/>
        <v>1</v>
      </c>
      <c r="G130" s="20">
        <f>+'1.1.mell._ÖNK_Mérleg2019'!G130+'1.2.mell._HKÖH_Mérleg2019'!G130+'1.3.mell._HVÓBKI_Mérleg2019'!G130+'1.4.mell._HKK_Mérleg2019'!G130+'1.5._mell._MŐSZ_Mérleg2019'!G130+'1.6._mell._HVGYKCSSZ_Mérleg2019'!G130</f>
        <v>2461</v>
      </c>
      <c r="H130" s="11">
        <f>+'1.1.mell._ÖNK_Mérleg2019'!H130+'1.2.mell._HKÖH_Mérleg2019'!H130+'1.3.mell._HVÓBKI_Mérleg2019'!H130+'1.4.mell._HKK_Mérleg2019'!H130+'1.5._mell._MŐSZ_Mérleg2019'!H130+'1.6._mell._HVGYKCSSZ_Mérleg2019'!H130</f>
        <v>0</v>
      </c>
      <c r="I130" s="16">
        <f>+'1.1.mell._ÖNK_Mérleg2019'!I130+'1.2.mell._HKÖH_Mérleg2019'!I130+'1.3.mell._HVÓBKI_Mérleg2019'!I130+'1.4.mell._HKK_Mérleg2019'!I130+'1.5._mell._MŐSZ_Mérleg2019'!I130+'1.6._mell._HVGYKCSSZ_Mérleg2019'!I130</f>
        <v>0</v>
      </c>
      <c r="M130" s="4">
        <f t="shared" si="25"/>
        <v>0</v>
      </c>
    </row>
    <row r="131" spans="1:13" ht="12.75" thickBot="1">
      <c r="A131" s="78" t="s">
        <v>261</v>
      </c>
      <c r="B131" s="68" t="s">
        <v>141</v>
      </c>
      <c r="C131" s="1138">
        <f>+'1.1.mell._ÖNK_Mérleg2019'!C131+'1.2.mell._HKÖH_Mérleg2019'!C131+'1.3.mell._HVÓBKI_Mérleg2019'!C131+'1.4.mell._HKK_Mérleg2019'!C131+'1.5._mell._MŐSZ_Mérleg2019'!C131+'1.6._mell._HVGYKCSSZ_Mérleg2019'!C131</f>
        <v>22200</v>
      </c>
      <c r="D131" s="1147">
        <f>+'1.1.mell._ÖNK_Mérleg2019'!D131+'1.2.mell._HKÖH_Mérleg2019'!D131+'1.3.mell._HVÓBKI_Mérleg2019'!D131+'1.4.mell._HKK_Mérleg2019'!D131+'1.5._mell._MŐSZ_Mérleg2019'!D131+'1.6._mell._HVGYKCSSZ_Mérleg2019'!D131</f>
        <v>40998</v>
      </c>
      <c r="E131" s="1147">
        <f>+'1.1.mell._ÖNK_Mérleg2019'!E131+'1.2.mell._HKÖH_Mérleg2019'!E131+'1.3.mell._HVÓBKI_Mérleg2019'!E131+'1.4.mell._HKK_Mérleg2019'!E131+'1.5._mell._MŐSZ_Mérleg2019'!E131+'1.6._mell._HVGYKCSSZ_Mérleg2019'!E131</f>
        <v>40700</v>
      </c>
      <c r="F131" s="1561">
        <f t="shared" si="24"/>
        <v>0.99273135274891455</v>
      </c>
      <c r="G131" s="21">
        <f>+'1.1.mell._ÖNK_Mérleg2019'!G131+'1.2.mell._HKÖH_Mérleg2019'!G131+'1.3.mell._HVÓBKI_Mérleg2019'!G131+'1.4.mell._HKK_Mérleg2019'!G131+'1.5._mell._MŐSZ_Mérleg2019'!G131+'1.6._mell._HVGYKCSSZ_Mérleg2019'!G131</f>
        <v>40700</v>
      </c>
      <c r="H131" s="22">
        <f>+'1.1.mell._ÖNK_Mérleg2019'!H131+'1.2.mell._HKÖH_Mérleg2019'!H131+'1.3.mell._HVÓBKI_Mérleg2019'!H131+'1.4.mell._HKK_Mérleg2019'!H131+'1.5._mell._MŐSZ_Mérleg2019'!H131+'1.6._mell._HVGYKCSSZ_Mérleg2019'!H131</f>
        <v>0</v>
      </c>
      <c r="I131" s="23">
        <f>+'1.1.mell._ÖNK_Mérleg2019'!I131+'1.2.mell._HKÖH_Mérleg2019'!I131+'1.3.mell._HVÓBKI_Mérleg2019'!I131+'1.4.mell._HKK_Mérleg2019'!I131+'1.5._mell._MŐSZ_Mérleg2019'!I131+'1.6._mell._HVGYKCSSZ_Mérleg2019'!I131</f>
        <v>0</v>
      </c>
      <c r="M131" s="4">
        <f t="shared" si="25"/>
        <v>0</v>
      </c>
    </row>
    <row r="132" spans="1:13" s="3" customFormat="1" ht="12.75" thickBot="1">
      <c r="A132" s="83" t="s">
        <v>15</v>
      </c>
      <c r="B132" s="64" t="s">
        <v>927</v>
      </c>
      <c r="C132" s="1134">
        <f t="shared" ref="C132:E132" si="29">+C133+C134+C135+C136+C137+C138+C144+C140+C141+C142+C143+C145+C146</f>
        <v>2874202</v>
      </c>
      <c r="D132" s="1143">
        <f t="shared" si="29"/>
        <v>3217954</v>
      </c>
      <c r="E132" s="1143">
        <f t="shared" si="29"/>
        <v>89359</v>
      </c>
      <c r="F132" s="1558">
        <f t="shared" si="24"/>
        <v>2.7768886690114278E-2</v>
      </c>
      <c r="G132" s="27">
        <f>+G133+G134+G135+G136+G137+G138+G144+G140+G141+G142+G143+G145+G146</f>
        <v>88169</v>
      </c>
      <c r="H132" s="28">
        <f>+H133+H134+H135+H136+H137+H138+H144+H140+H141+H142+H143+H145+H146</f>
        <v>1190</v>
      </c>
      <c r="I132" s="29">
        <f>+I133+I134+I135+I136+I137+I138+I144+I140+I141+I142+I143+I145+I146</f>
        <v>0</v>
      </c>
      <c r="J132" s="628">
        <f>+C132/$C$208</f>
        <v>0.62168848155365342</v>
      </c>
      <c r="K132" s="628">
        <f>+D132/$D$208</f>
        <v>0.48403081596608549</v>
      </c>
      <c r="L132" s="628">
        <f>+E132/$E$208</f>
        <v>2.8600069196555025E-2</v>
      </c>
      <c r="M132" s="3">
        <f t="shared" si="25"/>
        <v>0</v>
      </c>
    </row>
    <row r="133" spans="1:13">
      <c r="A133" s="84" t="s">
        <v>87</v>
      </c>
      <c r="B133" s="65" t="s">
        <v>142</v>
      </c>
      <c r="C133" s="1135">
        <f>+'1.1.mell._ÖNK_Mérleg2019'!C133+'1.2.mell._HKÖH_Mérleg2019'!C133+'1.3.mell._HVÓBKI_Mérleg2019'!C133+'1.4.mell._HKK_Mérleg2019'!C133+'1.5._mell._MŐSZ_Mérleg2019'!C133+'1.6._mell._HVGYKCSSZ_Mérleg2019'!C133</f>
        <v>0</v>
      </c>
      <c r="D133" s="1144">
        <f>+'1.1.mell._ÖNK_Mérleg2019'!D133+'1.2.mell._HKÖH_Mérleg2019'!D133+'1.3.mell._HVÓBKI_Mérleg2019'!D133+'1.4.mell._HKK_Mérleg2019'!D133+'1.5._mell._MŐSZ_Mérleg2019'!D133+'1.6._mell._HVGYKCSSZ_Mérleg2019'!D133</f>
        <v>0</v>
      </c>
      <c r="E133" s="1144">
        <f>+'1.1.mell._ÖNK_Mérleg2019'!E133+'1.2.mell._HKÖH_Mérleg2019'!E133+'1.3.mell._HVÓBKI_Mérleg2019'!E133+'1.4.mell._HKK_Mérleg2019'!E133+'1.5._mell._MŐSZ_Mérleg2019'!E133+'1.6._mell._HVGYKCSSZ_Mérleg2019'!E133</f>
        <v>0</v>
      </c>
      <c r="F133" s="1560" t="str">
        <f t="shared" si="24"/>
        <v>-</v>
      </c>
      <c r="G133" s="34">
        <f>+'1.1.mell._ÖNK_Mérleg2019'!G133+'1.2.mell._HKÖH_Mérleg2019'!G133+'1.3.mell._HVÓBKI_Mérleg2019'!G133+'1.4.mell._HKK_Mérleg2019'!G133+'1.5._mell._MŐSZ_Mérleg2019'!G133+'1.6._mell._HVGYKCSSZ_Mérleg2019'!G133</f>
        <v>0</v>
      </c>
      <c r="H133" s="10">
        <f>+'1.1.mell._ÖNK_Mérleg2019'!H133+'1.2.mell._HKÖH_Mérleg2019'!H133+'1.3.mell._HVÓBKI_Mérleg2019'!H133+'1.4.mell._HKK_Mérleg2019'!H133+'1.5._mell._MŐSZ_Mérleg2019'!H133+'1.6._mell._HVGYKCSSZ_Mérleg2019'!H133</f>
        <v>0</v>
      </c>
      <c r="I133" s="35">
        <f>+'1.1.mell._ÖNK_Mérleg2019'!I133+'1.2.mell._HKÖH_Mérleg2019'!I133+'1.3.mell._HVÓBKI_Mérleg2019'!I133+'1.4.mell._HKK_Mérleg2019'!I133+'1.5._mell._MŐSZ_Mérleg2019'!I133+'1.6._mell._HVGYKCSSZ_Mérleg2019'!I133</f>
        <v>0</v>
      </c>
      <c r="M133" s="4">
        <f t="shared" si="25"/>
        <v>0</v>
      </c>
    </row>
    <row r="134" spans="1:13">
      <c r="A134" s="85" t="s">
        <v>88</v>
      </c>
      <c r="B134" s="67" t="s">
        <v>143</v>
      </c>
      <c r="C134" s="1137">
        <f>+'1.1.mell._ÖNK_Mérleg2019'!C134+'1.2.mell._HKÖH_Mérleg2019'!C134+'1.3.mell._HVÓBKI_Mérleg2019'!C134+'1.4.mell._HKK_Mérleg2019'!C134+'1.5._mell._MŐSZ_Mérleg2019'!C134+'1.6._mell._HVGYKCSSZ_Mérleg2019'!C134</f>
        <v>16166</v>
      </c>
      <c r="D134" s="1146">
        <f>+'1.1.mell._ÖNK_Mérleg2019'!D134+'1.2.mell._HKÖH_Mérleg2019'!D134+'1.3.mell._HVÓBKI_Mérleg2019'!D134+'1.4.mell._HKK_Mérleg2019'!D134+'1.5._mell._MŐSZ_Mérleg2019'!D134+'1.6._mell._HVGYKCSSZ_Mérleg2019'!D134</f>
        <v>15517</v>
      </c>
      <c r="E134" s="1146">
        <f>+'1.1.mell._ÖNK_Mérleg2019'!E134+'1.2.mell._HKÖH_Mérleg2019'!E134+'1.3.mell._HVÓBKI_Mérleg2019'!E134+'1.4.mell._HKK_Mérleg2019'!E134+'1.5._mell._MŐSZ_Mérleg2019'!E134+'1.6._mell._HVGYKCSSZ_Mérleg2019'!E134</f>
        <v>10257</v>
      </c>
      <c r="F134" s="1562">
        <f t="shared" si="24"/>
        <v>0.66101694915254239</v>
      </c>
      <c r="G134" s="20">
        <f>+'1.1.mell._ÖNK_Mérleg2019'!G134+'1.2.mell._HKÖH_Mérleg2019'!G134+'1.3.mell._HVÓBKI_Mérleg2019'!G134+'1.4.mell._HKK_Mérleg2019'!G134+'1.5._mell._MŐSZ_Mérleg2019'!G134+'1.6._mell._HVGYKCSSZ_Mérleg2019'!G134</f>
        <v>10242</v>
      </c>
      <c r="H134" s="11">
        <f>+'1.1.mell._ÖNK_Mérleg2019'!H134+'1.2.mell._HKÖH_Mérleg2019'!H134+'1.3.mell._HVÓBKI_Mérleg2019'!H134+'1.4.mell._HKK_Mérleg2019'!H134+'1.5._mell._MŐSZ_Mérleg2019'!H134+'1.6._mell._HVGYKCSSZ_Mérleg2019'!H134</f>
        <v>15</v>
      </c>
      <c r="I134" s="16">
        <f>+'1.1.mell._ÖNK_Mérleg2019'!I134+'1.2.mell._HKÖH_Mérleg2019'!I134+'1.3.mell._HVÓBKI_Mérleg2019'!I134+'1.4.mell._HKK_Mérleg2019'!I134+'1.5._mell._MŐSZ_Mérleg2019'!I134+'1.6._mell._HVGYKCSSZ_Mérleg2019'!I134</f>
        <v>0</v>
      </c>
      <c r="M134" s="4">
        <f t="shared" si="25"/>
        <v>0</v>
      </c>
    </row>
    <row r="135" spans="1:13">
      <c r="A135" s="85" t="s">
        <v>182</v>
      </c>
      <c r="B135" s="67" t="s">
        <v>144</v>
      </c>
      <c r="C135" s="1137">
        <f>+'1.1.mell._ÖNK_Mérleg2019'!C135+'1.2.mell._HKÖH_Mérleg2019'!C135+'1.3.mell._HVÓBKI_Mérleg2019'!C135+'1.4.mell._HKK_Mérleg2019'!C135+'1.5._mell._MŐSZ_Mérleg2019'!C135+'1.6._mell._HVGYKCSSZ_Mérleg2019'!C135</f>
        <v>0</v>
      </c>
      <c r="D135" s="1146">
        <f>+'1.1.mell._ÖNK_Mérleg2019'!D135+'1.2.mell._HKÖH_Mérleg2019'!D135+'1.3.mell._HVÓBKI_Mérleg2019'!D135+'1.4.mell._HKK_Mérleg2019'!D135+'1.5._mell._MŐSZ_Mérleg2019'!D135+'1.6._mell._HVGYKCSSZ_Mérleg2019'!D135</f>
        <v>0</v>
      </c>
      <c r="E135" s="1146">
        <f>+'1.1.mell._ÖNK_Mérleg2019'!E135+'1.2.mell._HKÖH_Mérleg2019'!E135+'1.3.mell._HVÓBKI_Mérleg2019'!E135+'1.4.mell._HKK_Mérleg2019'!E135+'1.5._mell._MŐSZ_Mérleg2019'!E135+'1.6._mell._HVGYKCSSZ_Mérleg2019'!E135</f>
        <v>0</v>
      </c>
      <c r="F135" s="1562" t="str">
        <f t="shared" si="24"/>
        <v>-</v>
      </c>
      <c r="G135" s="20">
        <f>+'1.1.mell._ÖNK_Mérleg2019'!G135+'1.2.mell._HKÖH_Mérleg2019'!G135+'1.3.mell._HVÓBKI_Mérleg2019'!G135+'1.4.mell._HKK_Mérleg2019'!G135+'1.5._mell._MŐSZ_Mérleg2019'!G135+'1.6._mell._HVGYKCSSZ_Mérleg2019'!G135</f>
        <v>0</v>
      </c>
      <c r="H135" s="11">
        <f>+'1.1.mell._ÖNK_Mérleg2019'!H135+'1.2.mell._HKÖH_Mérleg2019'!H135+'1.3.mell._HVÓBKI_Mérleg2019'!H135+'1.4.mell._HKK_Mérleg2019'!H135+'1.5._mell._MŐSZ_Mérleg2019'!H135+'1.6._mell._HVGYKCSSZ_Mérleg2019'!H135</f>
        <v>0</v>
      </c>
      <c r="I135" s="16">
        <f>+'1.1.mell._ÖNK_Mérleg2019'!I135+'1.2.mell._HKÖH_Mérleg2019'!I135+'1.3.mell._HVÓBKI_Mérleg2019'!I135+'1.4.mell._HKK_Mérleg2019'!I135+'1.5._mell._MŐSZ_Mérleg2019'!I135+'1.6._mell._HVGYKCSSZ_Mérleg2019'!I135</f>
        <v>0</v>
      </c>
      <c r="M135" s="4">
        <f t="shared" si="25"/>
        <v>0</v>
      </c>
    </row>
    <row r="136" spans="1:13">
      <c r="A136" s="85" t="s">
        <v>183</v>
      </c>
      <c r="B136" s="67" t="s">
        <v>145</v>
      </c>
      <c r="C136" s="1137">
        <f>+'1.1.mell._ÖNK_Mérleg2019'!C136+'1.2.mell._HKÖH_Mérleg2019'!C136+'1.3.mell._HVÓBKI_Mérleg2019'!C136+'1.4.mell._HKK_Mérleg2019'!C136+'1.5._mell._MŐSZ_Mérleg2019'!C136+'1.6._mell._HVGYKCSSZ_Mérleg2019'!C136</f>
        <v>0</v>
      </c>
      <c r="D136" s="1146">
        <f>+'1.1.mell._ÖNK_Mérleg2019'!D136+'1.2.mell._HKÖH_Mérleg2019'!D136+'1.3.mell._HVÓBKI_Mérleg2019'!D136+'1.4.mell._HKK_Mérleg2019'!D136+'1.5._mell._MŐSZ_Mérleg2019'!D136+'1.6._mell._HVGYKCSSZ_Mérleg2019'!D136</f>
        <v>0</v>
      </c>
      <c r="E136" s="1146">
        <f>+'1.1.mell._ÖNK_Mérleg2019'!E136+'1.2.mell._HKÖH_Mérleg2019'!E136+'1.3.mell._HVÓBKI_Mérleg2019'!E136+'1.4.mell._HKK_Mérleg2019'!E136+'1.5._mell._MŐSZ_Mérleg2019'!E136+'1.6._mell._HVGYKCSSZ_Mérleg2019'!E136</f>
        <v>0</v>
      </c>
      <c r="F136" s="1562" t="str">
        <f t="shared" si="24"/>
        <v>-</v>
      </c>
      <c r="G136" s="20">
        <f>+'1.1.mell._ÖNK_Mérleg2019'!G136+'1.2.mell._HKÖH_Mérleg2019'!G136+'1.3.mell._HVÓBKI_Mérleg2019'!G136+'1.4.mell._HKK_Mérleg2019'!G136+'1.5._mell._MŐSZ_Mérleg2019'!G136+'1.6._mell._HVGYKCSSZ_Mérleg2019'!G136</f>
        <v>0</v>
      </c>
      <c r="H136" s="11">
        <f>+'1.1.mell._ÖNK_Mérleg2019'!H136+'1.2.mell._HKÖH_Mérleg2019'!H136+'1.3.mell._HVÓBKI_Mérleg2019'!H136+'1.4.mell._HKK_Mérleg2019'!H136+'1.5._mell._MŐSZ_Mérleg2019'!H136+'1.6._mell._HVGYKCSSZ_Mérleg2019'!H136</f>
        <v>0</v>
      </c>
      <c r="I136" s="16">
        <f>+'1.1.mell._ÖNK_Mérleg2019'!I136+'1.2.mell._HKÖH_Mérleg2019'!I136+'1.3.mell._HVÓBKI_Mérleg2019'!I136+'1.4.mell._HKK_Mérleg2019'!I136+'1.5._mell._MŐSZ_Mérleg2019'!I136+'1.6._mell._HVGYKCSSZ_Mérleg2019'!I136</f>
        <v>0</v>
      </c>
      <c r="M136" s="4">
        <f t="shared" si="25"/>
        <v>0</v>
      </c>
    </row>
    <row r="137" spans="1:13">
      <c r="A137" s="85" t="s">
        <v>184</v>
      </c>
      <c r="B137" s="67" t="s">
        <v>146</v>
      </c>
      <c r="C137" s="1137">
        <f>+'1.1.mell._ÖNK_Mérleg2019'!C137+'1.2.mell._HKÖH_Mérleg2019'!C137+'1.3.mell._HVÓBKI_Mérleg2019'!C137+'1.4.mell._HKK_Mérleg2019'!C137+'1.5._mell._MŐSZ_Mérleg2019'!C137+'1.6._mell._HVGYKCSSZ_Mérleg2019'!C137</f>
        <v>0</v>
      </c>
      <c r="D137" s="1146">
        <f>+'1.1.mell._ÖNK_Mérleg2019'!D137+'1.2.mell._HKÖH_Mérleg2019'!D137+'1.3.mell._HVÓBKI_Mérleg2019'!D137+'1.4.mell._HKK_Mérleg2019'!D137+'1.5._mell._MŐSZ_Mérleg2019'!D137+'1.6._mell._HVGYKCSSZ_Mérleg2019'!D137</f>
        <v>0</v>
      </c>
      <c r="E137" s="1146">
        <f>+'1.1.mell._ÖNK_Mérleg2019'!E137+'1.2.mell._HKÖH_Mérleg2019'!E137+'1.3.mell._HVÓBKI_Mérleg2019'!E137+'1.4.mell._HKK_Mérleg2019'!E137+'1.5._mell._MŐSZ_Mérleg2019'!E137+'1.6._mell._HVGYKCSSZ_Mérleg2019'!E137</f>
        <v>0</v>
      </c>
      <c r="F137" s="1562" t="str">
        <f t="shared" si="24"/>
        <v>-</v>
      </c>
      <c r="G137" s="20">
        <f>+'1.1.mell._ÖNK_Mérleg2019'!G137+'1.2.mell._HKÖH_Mérleg2019'!G137+'1.3.mell._HVÓBKI_Mérleg2019'!G137+'1.4.mell._HKK_Mérleg2019'!G137+'1.5._mell._MŐSZ_Mérleg2019'!G137+'1.6._mell._HVGYKCSSZ_Mérleg2019'!G137</f>
        <v>0</v>
      </c>
      <c r="H137" s="11">
        <f>+'1.1.mell._ÖNK_Mérleg2019'!H137+'1.2.mell._HKÖH_Mérleg2019'!H137+'1.3.mell._HVÓBKI_Mérleg2019'!H137+'1.4.mell._HKK_Mérleg2019'!H137+'1.5._mell._MŐSZ_Mérleg2019'!H137+'1.6._mell._HVGYKCSSZ_Mérleg2019'!H137</f>
        <v>0</v>
      </c>
      <c r="I137" s="16">
        <f>+'1.1.mell._ÖNK_Mérleg2019'!I137+'1.2.mell._HKÖH_Mérleg2019'!I137+'1.3.mell._HVÓBKI_Mérleg2019'!I137+'1.4.mell._HKK_Mérleg2019'!I137+'1.5._mell._MŐSZ_Mérleg2019'!I137+'1.6._mell._HVGYKCSSZ_Mérleg2019'!I137</f>
        <v>0</v>
      </c>
      <c r="M137" s="4">
        <f t="shared" si="25"/>
        <v>0</v>
      </c>
    </row>
    <row r="138" spans="1:13">
      <c r="A138" s="85" t="s">
        <v>262</v>
      </c>
      <c r="B138" s="67" t="s">
        <v>147</v>
      </c>
      <c r="C138" s="1137">
        <f>+'1.1.mell._ÖNK_Mérleg2019'!C138+'1.2.mell._HKÖH_Mérleg2019'!C138+'1.3.mell._HVÓBKI_Mérleg2019'!C138+'1.4.mell._HKK_Mérleg2019'!C138+'1.5._mell._MŐSZ_Mérleg2019'!C138+'1.6._mell._HVGYKCSSZ_Mérleg2019'!C138</f>
        <v>9203</v>
      </c>
      <c r="D138" s="1146">
        <f>+'1.1.mell._ÖNK_Mérleg2019'!D138+'1.2.mell._HKÖH_Mérleg2019'!D138+'1.3.mell._HVÓBKI_Mérleg2019'!D138+'1.4.mell._HKK_Mérleg2019'!D138+'1.5._mell._MŐSZ_Mérleg2019'!D138+'1.6._mell._HVGYKCSSZ_Mérleg2019'!D138</f>
        <v>17991</v>
      </c>
      <c r="E138" s="1146">
        <f>+'1.1.mell._ÖNK_Mérleg2019'!E138+'1.2.mell._HKÖH_Mérleg2019'!E138+'1.3.mell._HVÓBKI_Mérleg2019'!E138+'1.4.mell._HKK_Mérleg2019'!E138+'1.5._mell._MŐSZ_Mérleg2019'!E138+'1.6._mell._HVGYKCSSZ_Mérleg2019'!E138</f>
        <v>17991</v>
      </c>
      <c r="F138" s="1562">
        <f t="shared" si="24"/>
        <v>1</v>
      </c>
      <c r="G138" s="20">
        <f>+'1.1.mell._ÖNK_Mérleg2019'!G138+'1.2.mell._HKÖH_Mérleg2019'!G138+'1.3.mell._HVÓBKI_Mérleg2019'!G138+'1.4.mell._HKK_Mérleg2019'!G138+'1.5._mell._MŐSZ_Mérleg2019'!G138+'1.6._mell._HVGYKCSSZ_Mérleg2019'!G138</f>
        <v>17991</v>
      </c>
      <c r="H138" s="11">
        <f>+'1.1.mell._ÖNK_Mérleg2019'!H138+'1.2.mell._HKÖH_Mérleg2019'!H138+'1.3.mell._HVÓBKI_Mérleg2019'!H138+'1.4.mell._HKK_Mérleg2019'!H138+'1.5._mell._MŐSZ_Mérleg2019'!H138+'1.6._mell._HVGYKCSSZ_Mérleg2019'!H138</f>
        <v>0</v>
      </c>
      <c r="I138" s="16">
        <f>+'1.1.mell._ÖNK_Mérleg2019'!I138+'1.2.mell._HKÖH_Mérleg2019'!I138+'1.3.mell._HVÓBKI_Mérleg2019'!I138+'1.4.mell._HKK_Mérleg2019'!I138+'1.5._mell._MŐSZ_Mérleg2019'!I138+'1.6._mell._HVGYKCSSZ_Mérleg2019'!I138</f>
        <v>0</v>
      </c>
      <c r="M138" s="4">
        <f t="shared" si="25"/>
        <v>0</v>
      </c>
    </row>
    <row r="139" spans="1:13" s="13" customFormat="1">
      <c r="A139" s="89" t="s">
        <v>336</v>
      </c>
      <c r="B139" s="704" t="s">
        <v>933</v>
      </c>
      <c r="C139" s="1139">
        <f>+'1.1.mell._ÖNK_Mérleg2019'!C139+'1.2.mell._HKÖH_Mérleg2019'!C139+'1.3.mell._HVÓBKI_Mérleg2019'!C139+'1.4.mell._HKK_Mérleg2019'!C139+'1.5._mell._MŐSZ_Mérleg2019'!C139+'1.6._mell._HVGYKCSSZ_Mérleg2019'!C139</f>
        <v>0</v>
      </c>
      <c r="D139" s="1148">
        <f>+'1.1.mell._ÖNK_Mérleg2019'!D139+'1.2.mell._HKÖH_Mérleg2019'!D139+'1.3.mell._HVÓBKI_Mérleg2019'!D139+'1.4.mell._HKK_Mérleg2019'!D139+'1.5._mell._MŐSZ_Mérleg2019'!D139+'1.6._mell._HVGYKCSSZ_Mérleg2019'!D139</f>
        <v>8300</v>
      </c>
      <c r="E139" s="1148">
        <f>+'1.1.mell._ÖNK_Mérleg2019'!E139+'1.2.mell._HKÖH_Mérleg2019'!E139+'1.3.mell._HVÓBKI_Mérleg2019'!E139+'1.4.mell._HKK_Mérleg2019'!E139+'1.5._mell._MŐSZ_Mérleg2019'!E139+'1.6._mell._HVGYKCSSZ_Mérleg2019'!E139</f>
        <v>8300</v>
      </c>
      <c r="F139" s="1561">
        <f t="shared" si="24"/>
        <v>1</v>
      </c>
      <c r="G139" s="45">
        <f>+'1.1.mell._ÖNK_Mérleg2019'!G139+'1.2.mell._HKÖH_Mérleg2019'!G139+'1.3.mell._HVÓBKI_Mérleg2019'!G139+'1.4.mell._HKK_Mérleg2019'!G139+'1.5._mell._MŐSZ_Mérleg2019'!G139+'1.6._mell._HVGYKCSSZ_Mérleg2019'!G139</f>
        <v>8300</v>
      </c>
      <c r="H139" s="43">
        <f>+'1.1.mell._ÖNK_Mérleg2019'!H139+'1.2.mell._HKÖH_Mérleg2019'!H139+'1.3.mell._HVÓBKI_Mérleg2019'!H139+'1.4.mell._HKK_Mérleg2019'!H139+'1.5._mell._MŐSZ_Mérleg2019'!H139+'1.6._mell._HVGYKCSSZ_Mérleg2019'!H139</f>
        <v>0</v>
      </c>
      <c r="I139" s="44">
        <f>+'1.1.mell._ÖNK_Mérleg2019'!I139+'1.2.mell._HKÖH_Mérleg2019'!I139+'1.3.mell._HVÓBKI_Mérleg2019'!I139+'1.4.mell._HKK_Mérleg2019'!I139+'1.5._mell._MŐSZ_Mérleg2019'!I139+'1.6._mell._HVGYKCSSZ_Mérleg2019'!I139</f>
        <v>0</v>
      </c>
      <c r="M139" s="13">
        <f t="shared" si="25"/>
        <v>0</v>
      </c>
    </row>
    <row r="140" spans="1:13">
      <c r="A140" s="85" t="s">
        <v>263</v>
      </c>
      <c r="B140" s="67" t="s">
        <v>148</v>
      </c>
      <c r="C140" s="1137">
        <f>+'1.1.mell._ÖNK_Mérleg2019'!C140+'1.2.mell._HKÖH_Mérleg2019'!C140+'1.3.mell._HVÓBKI_Mérleg2019'!C140+'1.4.mell._HKK_Mérleg2019'!C140+'1.5._mell._MŐSZ_Mérleg2019'!C140+'1.6._mell._HVGYKCSSZ_Mérleg2019'!C140</f>
        <v>0</v>
      </c>
      <c r="D140" s="1146">
        <f>+'1.1.mell._ÖNK_Mérleg2019'!D140+'1.2.mell._HKÖH_Mérleg2019'!D140+'1.3.mell._HVÓBKI_Mérleg2019'!D140+'1.4.mell._HKK_Mérleg2019'!D140+'1.5._mell._MŐSZ_Mérleg2019'!D140+'1.6._mell._HVGYKCSSZ_Mérleg2019'!D140</f>
        <v>0</v>
      </c>
      <c r="E140" s="1146">
        <f>+'1.1.mell._ÖNK_Mérleg2019'!E140+'1.2.mell._HKÖH_Mérleg2019'!E140+'1.3.mell._HVÓBKI_Mérleg2019'!E140+'1.4.mell._HKK_Mérleg2019'!E140+'1.5._mell._MŐSZ_Mérleg2019'!E140+'1.6._mell._HVGYKCSSZ_Mérleg2019'!E140</f>
        <v>0</v>
      </c>
      <c r="F140" s="1562" t="str">
        <f t="shared" si="24"/>
        <v>-</v>
      </c>
      <c r="G140" s="20">
        <f>+'1.1.mell._ÖNK_Mérleg2019'!G140+'1.2.mell._HKÖH_Mérleg2019'!G140+'1.3.mell._HVÓBKI_Mérleg2019'!G140+'1.4.mell._HKK_Mérleg2019'!G140+'1.5._mell._MŐSZ_Mérleg2019'!G140+'1.6._mell._HVGYKCSSZ_Mérleg2019'!G140</f>
        <v>0</v>
      </c>
      <c r="H140" s="11">
        <f>+'1.1.mell._ÖNK_Mérleg2019'!H140+'1.2.mell._HKÖH_Mérleg2019'!H140+'1.3.mell._HVÓBKI_Mérleg2019'!H140+'1.4.mell._HKK_Mérleg2019'!H140+'1.5._mell._MŐSZ_Mérleg2019'!H140+'1.6._mell._HVGYKCSSZ_Mérleg2019'!H140</f>
        <v>0</v>
      </c>
      <c r="I140" s="16">
        <f>+'1.1.mell._ÖNK_Mérleg2019'!I140+'1.2.mell._HKÖH_Mérleg2019'!I140+'1.3.mell._HVÓBKI_Mérleg2019'!I140+'1.4.mell._HKK_Mérleg2019'!I140+'1.5._mell._MŐSZ_Mérleg2019'!I140+'1.6._mell._HVGYKCSSZ_Mérleg2019'!I140</f>
        <v>0</v>
      </c>
      <c r="M140" s="4">
        <f t="shared" si="25"/>
        <v>0</v>
      </c>
    </row>
    <row r="141" spans="1:13">
      <c r="A141" s="85" t="s">
        <v>264</v>
      </c>
      <c r="B141" s="67" t="s">
        <v>149</v>
      </c>
      <c r="C141" s="1137">
        <f>+'1.1.mell._ÖNK_Mérleg2019'!C141+'1.2.mell._HKÖH_Mérleg2019'!C141+'1.3.mell._HVÓBKI_Mérleg2019'!C141+'1.4.mell._HKK_Mérleg2019'!C141+'1.5._mell._MŐSZ_Mérleg2019'!C141+'1.6._mell._HVGYKCSSZ_Mérleg2019'!C141</f>
        <v>4000</v>
      </c>
      <c r="D141" s="1146">
        <f>+'1.1.mell._ÖNK_Mérleg2019'!D141+'1.2.mell._HKÖH_Mérleg2019'!D141+'1.3.mell._HVÓBKI_Mérleg2019'!D141+'1.4.mell._HKK_Mérleg2019'!D141+'1.5._mell._MŐSZ_Mérleg2019'!D141+'1.6._mell._HVGYKCSSZ_Mérleg2019'!D141</f>
        <v>8814</v>
      </c>
      <c r="E141" s="1146">
        <f>+'1.1.mell._ÖNK_Mérleg2019'!E141+'1.2.mell._HKÖH_Mérleg2019'!E141+'1.3.mell._HVÓBKI_Mérleg2019'!E141+'1.4.mell._HKK_Mérleg2019'!E141+'1.5._mell._MŐSZ_Mérleg2019'!E141+'1.6._mell._HVGYKCSSZ_Mérleg2019'!E141</f>
        <v>8814</v>
      </c>
      <c r="F141" s="1562">
        <f t="shared" si="24"/>
        <v>1</v>
      </c>
      <c r="G141" s="20">
        <f>+'1.1.mell._ÖNK_Mérleg2019'!G141+'1.2.mell._HKÖH_Mérleg2019'!G141+'1.3.mell._HVÓBKI_Mérleg2019'!G141+'1.4.mell._HKK_Mérleg2019'!G141+'1.5._mell._MŐSZ_Mérleg2019'!G141+'1.6._mell._HVGYKCSSZ_Mérleg2019'!G141</f>
        <v>8814</v>
      </c>
      <c r="H141" s="11">
        <f>+'1.1.mell._ÖNK_Mérleg2019'!H141+'1.2.mell._HKÖH_Mérleg2019'!H141+'1.3.mell._HVÓBKI_Mérleg2019'!H141+'1.4.mell._HKK_Mérleg2019'!H141+'1.5._mell._MŐSZ_Mérleg2019'!H141+'1.6._mell._HVGYKCSSZ_Mérleg2019'!H141</f>
        <v>0</v>
      </c>
      <c r="I141" s="16">
        <f>+'1.1.mell._ÖNK_Mérleg2019'!I141+'1.2.mell._HKÖH_Mérleg2019'!I141+'1.3.mell._HVÓBKI_Mérleg2019'!I141+'1.4.mell._HKK_Mérleg2019'!I141+'1.5._mell._MŐSZ_Mérleg2019'!I141+'1.6._mell._HVGYKCSSZ_Mérleg2019'!I141</f>
        <v>0</v>
      </c>
      <c r="M141" s="4">
        <f t="shared" si="25"/>
        <v>0</v>
      </c>
    </row>
    <row r="142" spans="1:13">
      <c r="A142" s="85" t="s">
        <v>265</v>
      </c>
      <c r="B142" s="67" t="s">
        <v>150</v>
      </c>
      <c r="C142" s="1137">
        <f>+'1.1.mell._ÖNK_Mérleg2019'!C142+'1.2.mell._HKÖH_Mérleg2019'!C142+'1.3.mell._HVÓBKI_Mérleg2019'!C142+'1.4.mell._HKK_Mérleg2019'!C142+'1.5._mell._MŐSZ_Mérleg2019'!C142+'1.6._mell._HVGYKCSSZ_Mérleg2019'!C142</f>
        <v>0</v>
      </c>
      <c r="D142" s="1146">
        <f>+'1.1.mell._ÖNK_Mérleg2019'!D142+'1.2.mell._HKÖH_Mérleg2019'!D142+'1.3.mell._HVÓBKI_Mérleg2019'!D142+'1.4.mell._HKK_Mérleg2019'!D142+'1.5._mell._MŐSZ_Mérleg2019'!D142+'1.6._mell._HVGYKCSSZ_Mérleg2019'!D142</f>
        <v>0</v>
      </c>
      <c r="E142" s="1146">
        <f>+'1.1.mell._ÖNK_Mérleg2019'!E142+'1.2.mell._HKÖH_Mérleg2019'!E142+'1.3.mell._HVÓBKI_Mérleg2019'!E142+'1.4.mell._HKK_Mérleg2019'!E142+'1.5._mell._MŐSZ_Mérleg2019'!E142+'1.6._mell._HVGYKCSSZ_Mérleg2019'!E142</f>
        <v>0</v>
      </c>
      <c r="F142" s="1562" t="str">
        <f t="shared" si="24"/>
        <v>-</v>
      </c>
      <c r="G142" s="20">
        <f>+'1.1.mell._ÖNK_Mérleg2019'!G142+'1.2.mell._HKÖH_Mérleg2019'!G142+'1.3.mell._HVÓBKI_Mérleg2019'!G142+'1.4.mell._HKK_Mérleg2019'!G142+'1.5._mell._MŐSZ_Mérleg2019'!G142+'1.6._mell._HVGYKCSSZ_Mérleg2019'!G142</f>
        <v>0</v>
      </c>
      <c r="H142" s="11">
        <f>+'1.1.mell._ÖNK_Mérleg2019'!H142+'1.2.mell._HKÖH_Mérleg2019'!H142+'1.3.mell._HVÓBKI_Mérleg2019'!H142+'1.4.mell._HKK_Mérleg2019'!H142+'1.5._mell._MŐSZ_Mérleg2019'!H142+'1.6._mell._HVGYKCSSZ_Mérleg2019'!H142</f>
        <v>0</v>
      </c>
      <c r="I142" s="16">
        <f>+'1.1.mell._ÖNK_Mérleg2019'!I142+'1.2.mell._HKÖH_Mérleg2019'!I142+'1.3.mell._HVÓBKI_Mérleg2019'!I142+'1.4.mell._HKK_Mérleg2019'!I142+'1.5._mell._MŐSZ_Mérleg2019'!I142+'1.6._mell._HVGYKCSSZ_Mérleg2019'!I142</f>
        <v>0</v>
      </c>
      <c r="M142" s="4">
        <f t="shared" si="25"/>
        <v>0</v>
      </c>
    </row>
    <row r="143" spans="1:13">
      <c r="A143" s="85" t="s">
        <v>266</v>
      </c>
      <c r="B143" s="67" t="s">
        <v>151</v>
      </c>
      <c r="C143" s="1137">
        <f>+'1.1.mell._ÖNK_Mérleg2019'!C143+'1.2.mell._HKÖH_Mérleg2019'!C143+'1.3.mell._HVÓBKI_Mérleg2019'!C143+'1.4.mell._HKK_Mérleg2019'!C143+'1.5._mell._MŐSZ_Mérleg2019'!C143+'1.6._mell._HVGYKCSSZ_Mérleg2019'!C143</f>
        <v>0</v>
      </c>
      <c r="D143" s="1146">
        <f>+'1.1.mell._ÖNK_Mérleg2019'!D143+'1.2.mell._HKÖH_Mérleg2019'!D143+'1.3.mell._HVÓBKI_Mérleg2019'!D143+'1.4.mell._HKK_Mérleg2019'!D143+'1.5._mell._MŐSZ_Mérleg2019'!D143+'1.6._mell._HVGYKCSSZ_Mérleg2019'!D143</f>
        <v>0</v>
      </c>
      <c r="E143" s="1146">
        <f>+'1.1.mell._ÖNK_Mérleg2019'!E143+'1.2.mell._HKÖH_Mérleg2019'!E143+'1.3.mell._HVÓBKI_Mérleg2019'!E143+'1.4.mell._HKK_Mérleg2019'!E143+'1.5._mell._MŐSZ_Mérleg2019'!E143+'1.6._mell._HVGYKCSSZ_Mérleg2019'!E143</f>
        <v>0</v>
      </c>
      <c r="F143" s="1562" t="str">
        <f t="shared" si="24"/>
        <v>-</v>
      </c>
      <c r="G143" s="20">
        <f>+'1.1.mell._ÖNK_Mérleg2019'!G143+'1.2.mell._HKÖH_Mérleg2019'!G143+'1.3.mell._HVÓBKI_Mérleg2019'!G143+'1.4.mell._HKK_Mérleg2019'!G143+'1.5._mell._MŐSZ_Mérleg2019'!G143+'1.6._mell._HVGYKCSSZ_Mérleg2019'!G143</f>
        <v>0</v>
      </c>
      <c r="H143" s="11">
        <f>+'1.1.mell._ÖNK_Mérleg2019'!H143+'1.2.mell._HKÖH_Mérleg2019'!H143+'1.3.mell._HVÓBKI_Mérleg2019'!H143+'1.4.mell._HKK_Mérleg2019'!H143+'1.5._mell._MŐSZ_Mérleg2019'!H143+'1.6._mell._HVGYKCSSZ_Mérleg2019'!H143</f>
        <v>0</v>
      </c>
      <c r="I143" s="16">
        <f>+'1.1.mell._ÖNK_Mérleg2019'!I143+'1.2.mell._HKÖH_Mérleg2019'!I143+'1.3.mell._HVÓBKI_Mérleg2019'!I143+'1.4.mell._HKK_Mérleg2019'!I143+'1.5._mell._MŐSZ_Mérleg2019'!I143+'1.6._mell._HVGYKCSSZ_Mérleg2019'!I143</f>
        <v>0</v>
      </c>
      <c r="M143" s="4">
        <f t="shared" si="25"/>
        <v>0</v>
      </c>
    </row>
    <row r="144" spans="1:13">
      <c r="A144" s="85" t="s">
        <v>267</v>
      </c>
      <c r="B144" s="67" t="s">
        <v>928</v>
      </c>
      <c r="C144" s="1137">
        <f>+'1.1.mell._ÖNK_Mérleg2019'!C144+'1.2.mell._HKÖH_Mérleg2019'!C144+'1.3.mell._HVÓBKI_Mérleg2019'!C144+'1.4.mell._HKK_Mérleg2019'!C144+'1.5._mell._MŐSZ_Mérleg2019'!C144+'1.6._mell._HVGYKCSSZ_Mérleg2019'!C144</f>
        <v>0</v>
      </c>
      <c r="D144" s="1146">
        <f>+'1.1.mell._ÖNK_Mérleg2019'!D144+'1.2.mell._HKÖH_Mérleg2019'!D144+'1.3.mell._HVÓBKI_Mérleg2019'!D144+'1.4.mell._HKK_Mérleg2019'!D144+'1.5._mell._MŐSZ_Mérleg2019'!D144+'1.6._mell._HVGYKCSSZ_Mérleg2019'!D144</f>
        <v>0</v>
      </c>
      <c r="E144" s="1146">
        <f>+'1.1.mell._ÖNK_Mérleg2019'!E144+'1.2.mell._HKÖH_Mérleg2019'!E144+'1.3.mell._HVÓBKI_Mérleg2019'!E144+'1.4.mell._HKK_Mérleg2019'!E144+'1.5._mell._MŐSZ_Mérleg2019'!E144+'1.6._mell._HVGYKCSSZ_Mérleg2019'!E144</f>
        <v>0</v>
      </c>
      <c r="F144" s="1562" t="str">
        <f t="shared" si="24"/>
        <v>-</v>
      </c>
      <c r="G144" s="20">
        <f>+'1.1.mell._ÖNK_Mérleg2019'!G144+'1.2.mell._HKÖH_Mérleg2019'!G144+'1.3.mell._HVÓBKI_Mérleg2019'!G144+'1.4.mell._HKK_Mérleg2019'!G144+'1.5._mell._MŐSZ_Mérleg2019'!G144+'1.6._mell._HVGYKCSSZ_Mérleg2019'!G144</f>
        <v>0</v>
      </c>
      <c r="H144" s="11">
        <f>+'1.1.mell._ÖNK_Mérleg2019'!H144+'1.2.mell._HKÖH_Mérleg2019'!H144+'1.3.mell._HVÓBKI_Mérleg2019'!H144+'1.4.mell._HKK_Mérleg2019'!H144+'1.5._mell._MŐSZ_Mérleg2019'!H144+'1.6._mell._HVGYKCSSZ_Mérleg2019'!H144</f>
        <v>0</v>
      </c>
      <c r="I144" s="16">
        <f>+'1.1.mell._ÖNK_Mérleg2019'!I144+'1.2.mell._HKÖH_Mérleg2019'!I144+'1.3.mell._HVÓBKI_Mérleg2019'!I144+'1.4.mell._HKK_Mérleg2019'!I144+'1.5._mell._MŐSZ_Mérleg2019'!I144+'1.6._mell._HVGYKCSSZ_Mérleg2019'!I144</f>
        <v>0</v>
      </c>
      <c r="M144" s="4">
        <f t="shared" si="25"/>
        <v>0</v>
      </c>
    </row>
    <row r="145" spans="1:13">
      <c r="A145" s="85" t="s">
        <v>268</v>
      </c>
      <c r="B145" s="67" t="s">
        <v>929</v>
      </c>
      <c r="C145" s="1137">
        <f>+'1.1.mell._ÖNK_Mérleg2019'!C145+'1.2.mell._HKÖH_Mérleg2019'!C145+'1.3.mell._HVÓBKI_Mérleg2019'!C145+'1.4.mell._HKK_Mérleg2019'!C145+'1.5._mell._MŐSZ_Mérleg2019'!C145+'1.6._mell._HVGYKCSSZ_Mérleg2019'!C145</f>
        <v>50700</v>
      </c>
      <c r="D145" s="1146">
        <f>+'1.1.mell._ÖNK_Mérleg2019'!D145+'1.2.mell._HKÖH_Mérleg2019'!D145+'1.3.mell._HVÓBKI_Mérleg2019'!D145+'1.4.mell._HKK_Mérleg2019'!D145+'1.5._mell._MŐSZ_Mérleg2019'!D145+'1.6._mell._HVGYKCSSZ_Mérleg2019'!D145</f>
        <v>61842</v>
      </c>
      <c r="E145" s="1146">
        <f>+'1.1.mell._ÖNK_Mérleg2019'!E145+'1.2.mell._HKÖH_Mérleg2019'!E145+'1.3.mell._HVÓBKI_Mérleg2019'!E145+'1.4.mell._HKK_Mérleg2019'!E145+'1.5._mell._MŐSZ_Mérleg2019'!E145+'1.6._mell._HVGYKCSSZ_Mérleg2019'!E145</f>
        <v>52297</v>
      </c>
      <c r="F145" s="1562">
        <f t="shared" si="24"/>
        <v>0.84565505643413863</v>
      </c>
      <c r="G145" s="20">
        <f>+'1.1.mell._ÖNK_Mérleg2019'!G145+'1.2.mell._HKÖH_Mérleg2019'!G145+'1.3.mell._HVÓBKI_Mérleg2019'!G145+'1.4.mell._HKK_Mérleg2019'!G145+'1.5._mell._MŐSZ_Mérleg2019'!G145+'1.6._mell._HVGYKCSSZ_Mérleg2019'!G145</f>
        <v>51122</v>
      </c>
      <c r="H145" s="11">
        <f>+'1.1.mell._ÖNK_Mérleg2019'!H145+'1.2.mell._HKÖH_Mérleg2019'!H145+'1.3.mell._HVÓBKI_Mérleg2019'!H145+'1.4.mell._HKK_Mérleg2019'!H145+'1.5._mell._MŐSZ_Mérleg2019'!H145+'1.6._mell._HVGYKCSSZ_Mérleg2019'!H145</f>
        <v>1175</v>
      </c>
      <c r="I145" s="16">
        <f>+'1.1.mell._ÖNK_Mérleg2019'!I145+'1.2.mell._HKÖH_Mérleg2019'!I145+'1.3.mell._HVÓBKI_Mérleg2019'!I145+'1.4.mell._HKK_Mérleg2019'!I145+'1.5._mell._MŐSZ_Mérleg2019'!I145+'1.6._mell._HVGYKCSSZ_Mérleg2019'!I145</f>
        <v>0</v>
      </c>
      <c r="M145" s="4">
        <f t="shared" si="25"/>
        <v>0</v>
      </c>
    </row>
    <row r="146" spans="1:13">
      <c r="A146" s="78" t="s">
        <v>924</v>
      </c>
      <c r="B146" s="68" t="s">
        <v>930</v>
      </c>
      <c r="C146" s="1138">
        <f t="shared" ref="C146:E146" si="30">+C147+C148</f>
        <v>2794133</v>
      </c>
      <c r="D146" s="1147">
        <f t="shared" si="30"/>
        <v>3113790</v>
      </c>
      <c r="E146" s="1147">
        <f t="shared" si="30"/>
        <v>0</v>
      </c>
      <c r="F146" s="1561">
        <f t="shared" si="24"/>
        <v>0</v>
      </c>
      <c r="G146" s="21">
        <f>+G147+G148</f>
        <v>0</v>
      </c>
      <c r="H146" s="22">
        <f>+H147+H148</f>
        <v>0</v>
      </c>
      <c r="I146" s="23">
        <f>+I147+I148</f>
        <v>0</v>
      </c>
      <c r="M146" s="4">
        <f t="shared" si="25"/>
        <v>0</v>
      </c>
    </row>
    <row r="147" spans="1:13" s="13" customFormat="1">
      <c r="A147" s="89" t="s">
        <v>925</v>
      </c>
      <c r="B147" s="74" t="s">
        <v>931</v>
      </c>
      <c r="C147" s="1139">
        <f>+'1.1.mell._ÖNK_Mérleg2019'!C147+'1.2.mell._HKÖH_Mérleg2019'!C147+'1.3.mell._HVÓBKI_Mérleg2019'!C147+'1.4.mell._HKK_Mérleg2019'!C147+'1.5._mell._MŐSZ_Mérleg2019'!C147+'1.6._mell._HVGYKCSSZ_Mérleg2019'!C147</f>
        <v>10000</v>
      </c>
      <c r="D147" s="1148">
        <f>+'1.1.mell._ÖNK_Mérleg2019'!D147+'1.2.mell._HKÖH_Mérleg2019'!D147+'1.3.mell._HVÓBKI_Mérleg2019'!D147+'1.4.mell._HKK_Mérleg2019'!D147+'1.5._mell._MŐSZ_Mérleg2019'!D147+'1.6._mell._HVGYKCSSZ_Mérleg2019'!D147</f>
        <v>3113790</v>
      </c>
      <c r="E147" s="1148">
        <f>+'1.1.mell._ÖNK_Mérleg2019'!E147+'1.2.mell._HKÖH_Mérleg2019'!E147+'1.3.mell._HVÓBKI_Mérleg2019'!E147+'1.4.mell._HKK_Mérleg2019'!E147+'1.5._mell._MŐSZ_Mérleg2019'!E147+'1.6._mell._HVGYKCSSZ_Mérleg2019'!E147</f>
        <v>0</v>
      </c>
      <c r="F147" s="1561">
        <f t="shared" si="24"/>
        <v>0</v>
      </c>
      <c r="G147" s="45">
        <f>+'1.1.mell._ÖNK_Mérleg2019'!G147+'1.2.mell._HKÖH_Mérleg2019'!G147+'1.3.mell._HVÓBKI_Mérleg2019'!G147+'1.4.mell._HKK_Mérleg2019'!G147+'1.5._mell._MŐSZ_Mérleg2019'!G147+'1.6._mell._HVGYKCSSZ_Mérleg2019'!G147</f>
        <v>0</v>
      </c>
      <c r="H147" s="43">
        <f>+'1.1.mell._ÖNK_Mérleg2019'!H147+'1.2.mell._HKÖH_Mérleg2019'!H147+'1.3.mell._HVÓBKI_Mérleg2019'!H147+'1.4.mell._HKK_Mérleg2019'!H147+'1.5._mell._MŐSZ_Mérleg2019'!H147+'1.6._mell._HVGYKCSSZ_Mérleg2019'!H147</f>
        <v>0</v>
      </c>
      <c r="I147" s="44">
        <f>+'1.1.mell._ÖNK_Mérleg2019'!I147+'1.2.mell._HKÖH_Mérleg2019'!I147+'1.3.mell._HVÓBKI_Mérleg2019'!I147+'1.4.mell._HKK_Mérleg2019'!I147+'1.5._mell._MŐSZ_Mérleg2019'!I147+'1.6._mell._HVGYKCSSZ_Mérleg2019'!I147</f>
        <v>0</v>
      </c>
      <c r="M147" s="13">
        <f t="shared" si="25"/>
        <v>0</v>
      </c>
    </row>
    <row r="148" spans="1:13" s="13" customFormat="1" ht="12.75" thickBot="1">
      <c r="A148" s="89" t="s">
        <v>926</v>
      </c>
      <c r="B148" s="74" t="s">
        <v>932</v>
      </c>
      <c r="C148" s="1139">
        <f>+'1.1.mell._ÖNK_Mérleg2019'!C148+'1.2.mell._HKÖH_Mérleg2019'!C148+'1.3.mell._HVÓBKI_Mérleg2019'!C148+'1.4.mell._HKK_Mérleg2019'!C148+'1.5._mell._MŐSZ_Mérleg2019'!C148+'1.6._mell._HVGYKCSSZ_Mérleg2019'!C148</f>
        <v>2784133</v>
      </c>
      <c r="D148" s="1148">
        <f>+'1.1.mell._ÖNK_Mérleg2019'!D148+'1.2.mell._HKÖH_Mérleg2019'!D148+'1.3.mell._HVÓBKI_Mérleg2019'!D148+'1.4.mell._HKK_Mérleg2019'!D148+'1.5._mell._MŐSZ_Mérleg2019'!D148+'1.6._mell._HVGYKCSSZ_Mérleg2019'!D148</f>
        <v>0</v>
      </c>
      <c r="E148" s="1148">
        <f>+'1.1.mell._ÖNK_Mérleg2019'!E148+'1.2.mell._HKÖH_Mérleg2019'!E148+'1.3.mell._HVÓBKI_Mérleg2019'!E148+'1.4.mell._HKK_Mérleg2019'!E148+'1.5._mell._MŐSZ_Mérleg2019'!E148+'1.6._mell._HVGYKCSSZ_Mérleg2019'!E148</f>
        <v>0</v>
      </c>
      <c r="F148" s="1561" t="str">
        <f t="shared" si="24"/>
        <v>-</v>
      </c>
      <c r="G148" s="45">
        <f>+'1.1.mell._ÖNK_Mérleg2019'!G148+'1.2.mell._HKÖH_Mérleg2019'!G148+'1.3.mell._HVÓBKI_Mérleg2019'!G148+'1.4.mell._HKK_Mérleg2019'!G148+'1.5._mell._MŐSZ_Mérleg2019'!G148+'1.6._mell._HVGYKCSSZ_Mérleg2019'!G148</f>
        <v>0</v>
      </c>
      <c r="H148" s="43">
        <f>+'1.1.mell._ÖNK_Mérleg2019'!H148+'1.2.mell._HKÖH_Mérleg2019'!H148+'1.3.mell._HVÓBKI_Mérleg2019'!H148+'1.4.mell._HKK_Mérleg2019'!H148+'1.5._mell._MŐSZ_Mérleg2019'!H148+'1.6._mell._HVGYKCSSZ_Mérleg2019'!H148</f>
        <v>0</v>
      </c>
      <c r="I148" s="44">
        <f>+'1.1.mell._ÖNK_Mérleg2019'!I148+'1.2.mell._HKÖH_Mérleg2019'!I148+'1.3.mell._HVÓBKI_Mérleg2019'!I148+'1.4.mell._HKK_Mérleg2019'!I148+'1.5._mell._MŐSZ_Mérleg2019'!I148+'1.6._mell._HVGYKCSSZ_Mérleg2019'!I148</f>
        <v>0</v>
      </c>
      <c r="M148" s="13">
        <f t="shared" si="25"/>
        <v>0</v>
      </c>
    </row>
    <row r="149" spans="1:13" s="3" customFormat="1" ht="12.75" thickBot="1">
      <c r="A149" s="83" t="s">
        <v>14</v>
      </c>
      <c r="B149" s="69" t="s">
        <v>311</v>
      </c>
      <c r="C149" s="1134">
        <f t="shared" ref="C149:E149" si="31">+C150+C159+C165</f>
        <v>485974</v>
      </c>
      <c r="D149" s="1143">
        <f t="shared" si="31"/>
        <v>1351199</v>
      </c>
      <c r="E149" s="1143">
        <f t="shared" si="31"/>
        <v>1068830</v>
      </c>
      <c r="F149" s="1558">
        <f t="shared" si="24"/>
        <v>0.79102337997585848</v>
      </c>
      <c r="G149" s="27">
        <f>+G150+G159+G165</f>
        <v>1063788</v>
      </c>
      <c r="H149" s="28">
        <f>+H150+H159+H165</f>
        <v>5042</v>
      </c>
      <c r="I149" s="29">
        <f>+I150+I159+I165</f>
        <v>0</v>
      </c>
      <c r="J149" s="628">
        <f>+C149/$C$208</f>
        <v>0.10511593761835639</v>
      </c>
      <c r="K149" s="628">
        <f>+D149/$D$208</f>
        <v>0.20324154866805391</v>
      </c>
      <c r="L149" s="628">
        <f>+E149/$E$208</f>
        <v>0.34208766838655208</v>
      </c>
      <c r="M149" s="3">
        <f t="shared" si="25"/>
        <v>0</v>
      </c>
    </row>
    <row r="150" spans="1:13" s="3" customFormat="1" ht="12.75" thickBot="1">
      <c r="A150" s="83" t="s">
        <v>13</v>
      </c>
      <c r="B150" s="64" t="s">
        <v>312</v>
      </c>
      <c r="C150" s="1134">
        <f t="shared" ref="C150:E150" si="32">+C152+C153+C154+C155+C156+C157+C158</f>
        <v>466298</v>
      </c>
      <c r="D150" s="1143">
        <f t="shared" si="32"/>
        <v>931483</v>
      </c>
      <c r="E150" s="1143">
        <f t="shared" si="32"/>
        <v>816299</v>
      </c>
      <c r="F150" s="1558">
        <f t="shared" si="24"/>
        <v>0.87634342226320827</v>
      </c>
      <c r="G150" s="27">
        <f>+G152+G153+G154+G155+G156+G157+G158</f>
        <v>811257</v>
      </c>
      <c r="H150" s="28">
        <f>+H152+H153+H154+H155+H156+H157+H158</f>
        <v>5042</v>
      </c>
      <c r="I150" s="29">
        <f>+I152+I153+I154+I155+I156+I157+I158</f>
        <v>0</v>
      </c>
      <c r="J150" s="628">
        <f>+C150/$C$208</f>
        <v>0.10086002847799336</v>
      </c>
      <c r="K150" s="628">
        <f>+D150/$D$208</f>
        <v>0.14010967109801359</v>
      </c>
      <c r="L150" s="628">
        <f>+E150/$E$208</f>
        <v>0.26126308357388367</v>
      </c>
      <c r="M150" s="3">
        <f t="shared" si="25"/>
        <v>0</v>
      </c>
    </row>
    <row r="151" spans="1:13" s="36" customFormat="1">
      <c r="A151" s="705" t="s">
        <v>934</v>
      </c>
      <c r="B151" s="706" t="s">
        <v>342</v>
      </c>
      <c r="C151" s="1151">
        <f>+'1.1.mell._ÖNK_Mérleg2019'!C151+'1.2.mell._HKÖH_Mérleg2019'!C151+'1.3.mell._HVÓBKI_Mérleg2019'!C151+'1.4.mell._HKK_Mérleg2019'!C151+'1.5._mell._MŐSZ_Mérleg2019'!C151+'1.6._mell._HVGYKCSSZ_Mérleg2019'!C151</f>
        <v>0</v>
      </c>
      <c r="D151" s="1152">
        <f>+'1.1.mell._ÖNK_Mérleg2019'!D151+'1.2.mell._HKÖH_Mérleg2019'!D151+'1.3.mell._HVÓBKI_Mérleg2019'!D151+'1.4.mell._HKK_Mérleg2019'!D151+'1.5._mell._MŐSZ_Mérleg2019'!D151+'1.6._mell._HVGYKCSSZ_Mérleg2019'!D151</f>
        <v>687310</v>
      </c>
      <c r="E151" s="1152">
        <f>+'1.1.mell._ÖNK_Mérleg2019'!E151+'1.2.mell._HKÖH_Mérleg2019'!E151+'1.3.mell._HVÓBKI_Mérleg2019'!E151+'1.4.mell._HKK_Mérleg2019'!E151+'1.5._mell._MŐSZ_Mérleg2019'!E151+'1.6._mell._HVGYKCSSZ_Mérleg2019'!E151</f>
        <v>687310</v>
      </c>
      <c r="F151" s="1559">
        <f t="shared" si="24"/>
        <v>1</v>
      </c>
      <c r="G151" s="96">
        <f>+'1.1.mell._ÖNK_Mérleg2019'!G151+'1.2.mell._HKÖH_Mérleg2019'!G151+'1.3.mell._HVÓBKI_Mérleg2019'!G151+'1.4.mell._HKK_Mérleg2019'!G151+'1.5._mell._MŐSZ_Mérleg2019'!G151+'1.6._mell._HVGYKCSSZ_Mérleg2019'!G151</f>
        <v>687310</v>
      </c>
      <c r="H151" s="97">
        <f>+'1.1.mell._ÖNK_Mérleg2019'!H151+'1.2.mell._HKÖH_Mérleg2019'!H151+'1.3.mell._HVÓBKI_Mérleg2019'!H151+'1.4.mell._HKK_Mérleg2019'!H151+'1.5._mell._MŐSZ_Mérleg2019'!H151+'1.6._mell._HVGYKCSSZ_Mérleg2019'!H151</f>
        <v>0</v>
      </c>
      <c r="I151" s="98">
        <f>+'1.1.mell._ÖNK_Mérleg2019'!I151+'1.2.mell._HKÖH_Mérleg2019'!I151+'1.3.mell._HVÓBKI_Mérleg2019'!I151+'1.4.mell._HKK_Mérleg2019'!I151+'1.5._mell._MŐSZ_Mérleg2019'!I151+'1.6._mell._HVGYKCSSZ_Mérleg2019'!I151</f>
        <v>0</v>
      </c>
      <c r="M151" s="36">
        <f t="shared" si="25"/>
        <v>0</v>
      </c>
    </row>
    <row r="152" spans="1:13">
      <c r="A152" s="84" t="s">
        <v>66</v>
      </c>
      <c r="B152" s="65" t="s">
        <v>152</v>
      </c>
      <c r="C152" s="1135">
        <f>+'1.1.mell._ÖNK_Mérleg2019'!C152+'1.2.mell._HKÖH_Mérleg2019'!C152+'1.3.mell._HVÓBKI_Mérleg2019'!C152+'1.4.mell._HKK_Mérleg2019'!C152+'1.5._mell._MŐSZ_Mérleg2019'!C152+'1.6._mell._HVGYKCSSZ_Mérleg2019'!C152</f>
        <v>7874</v>
      </c>
      <c r="D152" s="1144">
        <f>+'1.1.mell._ÖNK_Mérleg2019'!D152+'1.2.mell._HKÖH_Mérleg2019'!D152+'1.3.mell._HVÓBKI_Mérleg2019'!D152+'1.4.mell._HKK_Mérleg2019'!D152+'1.5._mell._MŐSZ_Mérleg2019'!D152+'1.6._mell._HVGYKCSSZ_Mérleg2019'!D152</f>
        <v>265</v>
      </c>
      <c r="E152" s="1144">
        <f>+'1.1.mell._ÖNK_Mérleg2019'!E152+'1.2.mell._HKÖH_Mérleg2019'!E152+'1.3.mell._HVÓBKI_Mérleg2019'!E152+'1.4.mell._HKK_Mérleg2019'!E152+'1.5._mell._MŐSZ_Mérleg2019'!E152+'1.6._mell._HVGYKCSSZ_Mérleg2019'!E152</f>
        <v>265</v>
      </c>
      <c r="F152" s="1560">
        <f t="shared" si="24"/>
        <v>1</v>
      </c>
      <c r="G152" s="34">
        <f>+'1.1.mell._ÖNK_Mérleg2019'!G152+'1.2.mell._HKÖH_Mérleg2019'!G152+'1.3.mell._HVÓBKI_Mérleg2019'!G152+'1.4.mell._HKK_Mérleg2019'!G152+'1.5._mell._MŐSZ_Mérleg2019'!G152+'1.6._mell._HVGYKCSSZ_Mérleg2019'!G152</f>
        <v>265</v>
      </c>
      <c r="H152" s="10">
        <f>+'1.1.mell._ÖNK_Mérleg2019'!H152+'1.2.mell._HKÖH_Mérleg2019'!H152+'1.3.mell._HVÓBKI_Mérleg2019'!H152+'1.4.mell._HKK_Mérleg2019'!H152+'1.5._mell._MŐSZ_Mérleg2019'!H152+'1.6._mell._HVGYKCSSZ_Mérleg2019'!H152</f>
        <v>0</v>
      </c>
      <c r="I152" s="35">
        <f>+'1.1.mell._ÖNK_Mérleg2019'!I152+'1.2.mell._HKÖH_Mérleg2019'!I152+'1.3.mell._HVÓBKI_Mérleg2019'!I152+'1.4.mell._HKK_Mérleg2019'!I152+'1.5._mell._MŐSZ_Mérleg2019'!I152+'1.6._mell._HVGYKCSSZ_Mérleg2019'!I152</f>
        <v>0</v>
      </c>
      <c r="M152" s="4">
        <f t="shared" si="25"/>
        <v>0</v>
      </c>
    </row>
    <row r="153" spans="1:13">
      <c r="A153" s="85" t="s">
        <v>67</v>
      </c>
      <c r="B153" s="67" t="s">
        <v>153</v>
      </c>
      <c r="C153" s="1137">
        <f>+'1.1.mell._ÖNK_Mérleg2019'!C153+'1.2.mell._HKÖH_Mérleg2019'!C153+'1.3.mell._HVÓBKI_Mérleg2019'!C153+'1.4.mell._HKK_Mérleg2019'!C153+'1.5._mell._MŐSZ_Mérleg2019'!C153+'1.6._mell._HVGYKCSSZ_Mérleg2019'!C153</f>
        <v>429715</v>
      </c>
      <c r="D153" s="1146">
        <f>+'1.1.mell._ÖNK_Mérleg2019'!D153+'1.2.mell._HKÖH_Mérleg2019'!D153+'1.3.mell._HVÓBKI_Mérleg2019'!D153+'1.4.mell._HKK_Mérleg2019'!D153+'1.5._mell._MŐSZ_Mérleg2019'!D153+'1.6._mell._HVGYKCSSZ_Mérleg2019'!D153</f>
        <v>861414</v>
      </c>
      <c r="E153" s="1146">
        <f>+'1.1.mell._ÖNK_Mérleg2019'!E153+'1.2.mell._HKÖH_Mérleg2019'!E153+'1.3.mell._HVÓBKI_Mérleg2019'!E153+'1.4.mell._HKK_Mérleg2019'!E153+'1.5._mell._MŐSZ_Mérleg2019'!E153+'1.6._mell._HVGYKCSSZ_Mérleg2019'!E153</f>
        <v>753532</v>
      </c>
      <c r="F153" s="1562">
        <f t="shared" si="24"/>
        <v>0.87476172897120319</v>
      </c>
      <c r="G153" s="20">
        <f>+'1.1.mell._ÖNK_Mérleg2019'!G153+'1.2.mell._HKÖH_Mérleg2019'!G153+'1.3.mell._HVÓBKI_Mérleg2019'!G153+'1.4.mell._HKK_Mérleg2019'!G153+'1.5._mell._MŐSZ_Mérleg2019'!G153+'1.6._mell._HVGYKCSSZ_Mérleg2019'!G153</f>
        <v>748782</v>
      </c>
      <c r="H153" s="11">
        <f>+'1.1.mell._ÖNK_Mérleg2019'!H153+'1.2.mell._HKÖH_Mérleg2019'!H153+'1.3.mell._HVÓBKI_Mérleg2019'!H153+'1.4.mell._HKK_Mérleg2019'!H153+'1.5._mell._MŐSZ_Mérleg2019'!H153+'1.6._mell._HVGYKCSSZ_Mérleg2019'!H153</f>
        <v>4750</v>
      </c>
      <c r="I153" s="16">
        <f>+'1.1.mell._ÖNK_Mérleg2019'!I153+'1.2.mell._HKÖH_Mérleg2019'!I153+'1.3.mell._HVÓBKI_Mérleg2019'!I153+'1.4.mell._HKK_Mérleg2019'!I153+'1.5._mell._MŐSZ_Mérleg2019'!I153+'1.6._mell._HVGYKCSSZ_Mérleg2019'!I153</f>
        <v>0</v>
      </c>
      <c r="M153" s="4">
        <f t="shared" si="25"/>
        <v>0</v>
      </c>
    </row>
    <row r="154" spans="1:13">
      <c r="A154" s="85" t="s">
        <v>68</v>
      </c>
      <c r="B154" s="67" t="s">
        <v>154</v>
      </c>
      <c r="C154" s="1137">
        <f>+'1.1.mell._ÖNK_Mérleg2019'!C154+'1.2.mell._HKÖH_Mérleg2019'!C154+'1.3.mell._HVÓBKI_Mérleg2019'!C154+'1.4.mell._HKK_Mérleg2019'!C154+'1.5._mell._MŐSZ_Mérleg2019'!C154+'1.6._mell._HVGYKCSSZ_Mérleg2019'!C154</f>
        <v>2709</v>
      </c>
      <c r="D154" s="1146">
        <f>+'1.1.mell._ÖNK_Mérleg2019'!D154+'1.2.mell._HKÖH_Mérleg2019'!D154+'1.3.mell._HVÓBKI_Mérleg2019'!D154+'1.4.mell._HKK_Mérleg2019'!D154+'1.5._mell._MŐSZ_Mérleg2019'!D154+'1.6._mell._HVGYKCSSZ_Mérleg2019'!D154</f>
        <v>3390</v>
      </c>
      <c r="E154" s="1146">
        <f>+'1.1.mell._ÖNK_Mérleg2019'!E154+'1.2.mell._HKÖH_Mérleg2019'!E154+'1.3.mell._HVÓBKI_Mérleg2019'!E154+'1.4.mell._HKK_Mérleg2019'!E154+'1.5._mell._MŐSZ_Mérleg2019'!E154+'1.6._mell._HVGYKCSSZ_Mérleg2019'!E154</f>
        <v>3390</v>
      </c>
      <c r="F154" s="1562">
        <f t="shared" si="24"/>
        <v>1</v>
      </c>
      <c r="G154" s="20">
        <f>+'1.1.mell._ÖNK_Mérleg2019'!G154+'1.2.mell._HKÖH_Mérleg2019'!G154+'1.3.mell._HVÓBKI_Mérleg2019'!G154+'1.4.mell._HKK_Mérleg2019'!G154+'1.5._mell._MŐSZ_Mérleg2019'!G154+'1.6._mell._HVGYKCSSZ_Mérleg2019'!G154</f>
        <v>3390</v>
      </c>
      <c r="H154" s="11">
        <f>+'1.1.mell._ÖNK_Mérleg2019'!H154+'1.2.mell._HKÖH_Mérleg2019'!H154+'1.3.mell._HVÓBKI_Mérleg2019'!H154+'1.4.mell._HKK_Mérleg2019'!H154+'1.5._mell._MŐSZ_Mérleg2019'!H154+'1.6._mell._HVGYKCSSZ_Mérleg2019'!H154</f>
        <v>0</v>
      </c>
      <c r="I154" s="16">
        <f>+'1.1.mell._ÖNK_Mérleg2019'!I154+'1.2.mell._HKÖH_Mérleg2019'!I154+'1.3.mell._HVÓBKI_Mérleg2019'!I154+'1.4.mell._HKK_Mérleg2019'!I154+'1.5._mell._MŐSZ_Mérleg2019'!I154+'1.6._mell._HVGYKCSSZ_Mérleg2019'!I154</f>
        <v>0</v>
      </c>
      <c r="M154" s="4">
        <f t="shared" si="25"/>
        <v>0</v>
      </c>
    </row>
    <row r="155" spans="1:13">
      <c r="A155" s="85" t="s">
        <v>230</v>
      </c>
      <c r="B155" s="67" t="s">
        <v>155</v>
      </c>
      <c r="C155" s="1137">
        <f>+'1.1.mell._ÖNK_Mérleg2019'!C155+'1.2.mell._HKÖH_Mérleg2019'!C155+'1.3.mell._HVÓBKI_Mérleg2019'!C155+'1.4.mell._HKK_Mérleg2019'!C155+'1.5._mell._MŐSZ_Mérleg2019'!C155+'1.6._mell._HVGYKCSSZ_Mérleg2019'!C155</f>
        <v>10356</v>
      </c>
      <c r="D155" s="1146">
        <f>+'1.1.mell._ÖNK_Mérleg2019'!D155+'1.2.mell._HKÖH_Mérleg2019'!D155+'1.3.mell._HVÓBKI_Mérleg2019'!D155+'1.4.mell._HKK_Mérleg2019'!D155+'1.5._mell._MŐSZ_Mérleg2019'!D155+'1.6._mell._HVGYKCSSZ_Mérleg2019'!D155</f>
        <v>42784</v>
      </c>
      <c r="E155" s="1146">
        <f>+'1.1.mell._ÖNK_Mérleg2019'!E155+'1.2.mell._HKÖH_Mérleg2019'!E155+'1.3.mell._HVÓBKI_Mérleg2019'!E155+'1.4.mell._HKK_Mérleg2019'!E155+'1.5._mell._MŐSZ_Mérleg2019'!E155+'1.6._mell._HVGYKCSSZ_Mérleg2019'!E155</f>
        <v>40252</v>
      </c>
      <c r="F155" s="1562">
        <f t="shared" si="24"/>
        <v>0.94081899775617051</v>
      </c>
      <c r="G155" s="20">
        <f>+'1.1.mell._ÖNK_Mérleg2019'!G155+'1.2.mell._HKÖH_Mérleg2019'!G155+'1.3.mell._HVÓBKI_Mérleg2019'!G155+'1.4.mell._HKK_Mérleg2019'!G155+'1.5._mell._MŐSZ_Mérleg2019'!G155+'1.6._mell._HVGYKCSSZ_Mérleg2019'!G155</f>
        <v>40022</v>
      </c>
      <c r="H155" s="11">
        <f>+'1.1.mell._ÖNK_Mérleg2019'!H155+'1.2.mell._HKÖH_Mérleg2019'!H155+'1.3.mell._HVÓBKI_Mérleg2019'!H155+'1.4.mell._HKK_Mérleg2019'!H155+'1.5._mell._MŐSZ_Mérleg2019'!H155+'1.6._mell._HVGYKCSSZ_Mérleg2019'!H155</f>
        <v>230</v>
      </c>
      <c r="I155" s="16">
        <f>+'1.1.mell._ÖNK_Mérleg2019'!I155+'1.2.mell._HKÖH_Mérleg2019'!I155+'1.3.mell._HVÓBKI_Mérleg2019'!I155+'1.4.mell._HKK_Mérleg2019'!I155+'1.5._mell._MŐSZ_Mérleg2019'!I155+'1.6._mell._HVGYKCSSZ_Mérleg2019'!I155</f>
        <v>0</v>
      </c>
      <c r="M155" s="4">
        <f t="shared" si="25"/>
        <v>0</v>
      </c>
    </row>
    <row r="156" spans="1:13">
      <c r="A156" s="85" t="s">
        <v>231</v>
      </c>
      <c r="B156" s="67" t="s">
        <v>156</v>
      </c>
      <c r="C156" s="1137">
        <f>+'1.1.mell._ÖNK_Mérleg2019'!C156+'1.2.mell._HKÖH_Mérleg2019'!C156+'1.3.mell._HVÓBKI_Mérleg2019'!C156+'1.4.mell._HKK_Mérleg2019'!C156+'1.5._mell._MŐSZ_Mérleg2019'!C156+'1.6._mell._HVGYKCSSZ_Mérleg2019'!C156</f>
        <v>0</v>
      </c>
      <c r="D156" s="1146">
        <f>+'1.1.mell._ÖNK_Mérleg2019'!D156+'1.2.mell._HKÖH_Mérleg2019'!D156+'1.3.mell._HVÓBKI_Mérleg2019'!D156+'1.4.mell._HKK_Mérleg2019'!D156+'1.5._mell._MŐSZ_Mérleg2019'!D156+'1.6._mell._HVGYKCSSZ_Mérleg2019'!D156</f>
        <v>0</v>
      </c>
      <c r="E156" s="1146">
        <f>+'1.1.mell._ÖNK_Mérleg2019'!E156+'1.2.mell._HKÖH_Mérleg2019'!E156+'1.3.mell._HVÓBKI_Mérleg2019'!E156+'1.4.mell._HKK_Mérleg2019'!E156+'1.5._mell._MŐSZ_Mérleg2019'!E156+'1.6._mell._HVGYKCSSZ_Mérleg2019'!E156</f>
        <v>0</v>
      </c>
      <c r="F156" s="1562" t="str">
        <f t="shared" si="24"/>
        <v>-</v>
      </c>
      <c r="G156" s="20">
        <f>+'1.1.mell._ÖNK_Mérleg2019'!G156+'1.2.mell._HKÖH_Mérleg2019'!G156+'1.3.mell._HVÓBKI_Mérleg2019'!G156+'1.4.mell._HKK_Mérleg2019'!G156+'1.5._mell._MŐSZ_Mérleg2019'!G156+'1.6._mell._HVGYKCSSZ_Mérleg2019'!G156</f>
        <v>0</v>
      </c>
      <c r="H156" s="11">
        <f>+'1.1.mell._ÖNK_Mérleg2019'!H156+'1.2.mell._HKÖH_Mérleg2019'!H156+'1.3.mell._HVÓBKI_Mérleg2019'!H156+'1.4.mell._HKK_Mérleg2019'!H156+'1.5._mell._MŐSZ_Mérleg2019'!H156+'1.6._mell._HVGYKCSSZ_Mérleg2019'!H156</f>
        <v>0</v>
      </c>
      <c r="I156" s="16">
        <f>+'1.1.mell._ÖNK_Mérleg2019'!I156+'1.2.mell._HKÖH_Mérleg2019'!I156+'1.3.mell._HVÓBKI_Mérleg2019'!I156+'1.4.mell._HKK_Mérleg2019'!I156+'1.5._mell._MŐSZ_Mérleg2019'!I156+'1.6._mell._HVGYKCSSZ_Mérleg2019'!I156</f>
        <v>0</v>
      </c>
      <c r="M156" s="4">
        <f t="shared" si="25"/>
        <v>0</v>
      </c>
    </row>
    <row r="157" spans="1:13">
      <c r="A157" s="85" t="s">
        <v>269</v>
      </c>
      <c r="B157" s="67" t="s">
        <v>157</v>
      </c>
      <c r="C157" s="1137">
        <f>+'1.1.mell._ÖNK_Mérleg2019'!C157+'1.2.mell._HKÖH_Mérleg2019'!C157+'1.3.mell._HVÓBKI_Mérleg2019'!C157+'1.4.mell._HKK_Mérleg2019'!C157+'1.5._mell._MŐSZ_Mérleg2019'!C157+'1.6._mell._HVGYKCSSZ_Mérleg2019'!C157</f>
        <v>0</v>
      </c>
      <c r="D157" s="1146">
        <f>+'1.1.mell._ÖNK_Mérleg2019'!D157+'1.2.mell._HKÖH_Mérleg2019'!D157+'1.3.mell._HVÓBKI_Mérleg2019'!D157+'1.4.mell._HKK_Mérleg2019'!D157+'1.5._mell._MŐSZ_Mérleg2019'!D157+'1.6._mell._HVGYKCSSZ_Mérleg2019'!D157</f>
        <v>0</v>
      </c>
      <c r="E157" s="1146">
        <f>+'1.1.mell._ÖNK_Mérleg2019'!E157+'1.2.mell._HKÖH_Mérleg2019'!E157+'1.3.mell._HVÓBKI_Mérleg2019'!E157+'1.4.mell._HKK_Mérleg2019'!E157+'1.5._mell._MŐSZ_Mérleg2019'!E157+'1.6._mell._HVGYKCSSZ_Mérleg2019'!E157</f>
        <v>0</v>
      </c>
      <c r="F157" s="1562" t="str">
        <f t="shared" si="24"/>
        <v>-</v>
      </c>
      <c r="G157" s="20">
        <f>+'1.1.mell._ÖNK_Mérleg2019'!G157+'1.2.mell._HKÖH_Mérleg2019'!G157+'1.3.mell._HVÓBKI_Mérleg2019'!G157+'1.4.mell._HKK_Mérleg2019'!G157+'1.5._mell._MŐSZ_Mérleg2019'!G157+'1.6._mell._HVGYKCSSZ_Mérleg2019'!G157</f>
        <v>0</v>
      </c>
      <c r="H157" s="11">
        <f>+'1.1.mell._ÖNK_Mérleg2019'!H157+'1.2.mell._HKÖH_Mérleg2019'!H157+'1.3.mell._HVÓBKI_Mérleg2019'!H157+'1.4.mell._HKK_Mérleg2019'!H157+'1.5._mell._MŐSZ_Mérleg2019'!H157+'1.6._mell._HVGYKCSSZ_Mérleg2019'!H157</f>
        <v>0</v>
      </c>
      <c r="I157" s="16">
        <f>+'1.1.mell._ÖNK_Mérleg2019'!I157+'1.2.mell._HKÖH_Mérleg2019'!I157+'1.3.mell._HVÓBKI_Mérleg2019'!I157+'1.4.mell._HKK_Mérleg2019'!I157+'1.5._mell._MŐSZ_Mérleg2019'!I157+'1.6._mell._HVGYKCSSZ_Mérleg2019'!I157</f>
        <v>0</v>
      </c>
      <c r="M157" s="4">
        <f t="shared" si="25"/>
        <v>0</v>
      </c>
    </row>
    <row r="158" spans="1:13" ht="12.75" thickBot="1">
      <c r="A158" s="78" t="s">
        <v>270</v>
      </c>
      <c r="B158" s="68" t="s">
        <v>158</v>
      </c>
      <c r="C158" s="1138">
        <f>+'1.1.mell._ÖNK_Mérleg2019'!C158+'1.2.mell._HKÖH_Mérleg2019'!C158+'1.3.mell._HVÓBKI_Mérleg2019'!C158+'1.4.mell._HKK_Mérleg2019'!C158+'1.5._mell._MŐSZ_Mérleg2019'!C158+'1.6._mell._HVGYKCSSZ_Mérleg2019'!C158</f>
        <v>15644</v>
      </c>
      <c r="D158" s="1147">
        <f>+'1.1.mell._ÖNK_Mérleg2019'!D158+'1.2.mell._HKÖH_Mérleg2019'!D158+'1.3.mell._HVÓBKI_Mérleg2019'!D158+'1.4.mell._HKK_Mérleg2019'!D158+'1.5._mell._MŐSZ_Mérleg2019'!D158+'1.6._mell._HVGYKCSSZ_Mérleg2019'!D158</f>
        <v>23630</v>
      </c>
      <c r="E158" s="1147">
        <f>+'1.1.mell._ÖNK_Mérleg2019'!E158+'1.2.mell._HKÖH_Mérleg2019'!E158+'1.3.mell._HVÓBKI_Mérleg2019'!E158+'1.4.mell._HKK_Mérleg2019'!E158+'1.5._mell._MŐSZ_Mérleg2019'!E158+'1.6._mell._HVGYKCSSZ_Mérleg2019'!E158</f>
        <v>18860</v>
      </c>
      <c r="F158" s="1561">
        <f t="shared" si="24"/>
        <v>0.79813796022005923</v>
      </c>
      <c r="G158" s="21">
        <f>+'1.1.mell._ÖNK_Mérleg2019'!G158+'1.2.mell._HKÖH_Mérleg2019'!G158+'1.3.mell._HVÓBKI_Mérleg2019'!G158+'1.4.mell._HKK_Mérleg2019'!G158+'1.5._mell._MŐSZ_Mérleg2019'!G158+'1.6._mell._HVGYKCSSZ_Mérleg2019'!G158</f>
        <v>18798</v>
      </c>
      <c r="H158" s="22">
        <f>+'1.1.mell._ÖNK_Mérleg2019'!H158+'1.2.mell._HKÖH_Mérleg2019'!H158+'1.3.mell._HVÓBKI_Mérleg2019'!H158+'1.4.mell._HKK_Mérleg2019'!H158+'1.5._mell._MŐSZ_Mérleg2019'!H158+'1.6._mell._HVGYKCSSZ_Mérleg2019'!H158</f>
        <v>62</v>
      </c>
      <c r="I158" s="23">
        <f>+'1.1.mell._ÖNK_Mérleg2019'!I158+'1.2.mell._HKÖH_Mérleg2019'!I158+'1.3.mell._HVÓBKI_Mérleg2019'!I158+'1.4.mell._HKK_Mérleg2019'!I158+'1.5._mell._MŐSZ_Mérleg2019'!I158+'1.6._mell._HVGYKCSSZ_Mérleg2019'!I158</f>
        <v>0</v>
      </c>
      <c r="M158" s="4">
        <f t="shared" si="25"/>
        <v>0</v>
      </c>
    </row>
    <row r="159" spans="1:13" s="3" customFormat="1" ht="12.75" thickBot="1">
      <c r="A159" s="83" t="s">
        <v>12</v>
      </c>
      <c r="B159" s="64" t="s">
        <v>313</v>
      </c>
      <c r="C159" s="1134">
        <f t="shared" ref="C159:E159" si="33">+C161+C162+C163+C164</f>
        <v>19676</v>
      </c>
      <c r="D159" s="1143">
        <f t="shared" si="33"/>
        <v>419698</v>
      </c>
      <c r="E159" s="1143">
        <f t="shared" si="33"/>
        <v>252513</v>
      </c>
      <c r="F159" s="1558">
        <f t="shared" si="24"/>
        <v>0.60165404648104115</v>
      </c>
      <c r="G159" s="27">
        <f>+G161+G162+G163+G164</f>
        <v>252513</v>
      </c>
      <c r="H159" s="28">
        <f>+H161+H162+H163+H164</f>
        <v>0</v>
      </c>
      <c r="I159" s="29">
        <f>+I161+I162+I163+I164</f>
        <v>0</v>
      </c>
      <c r="J159" s="628">
        <f>+C159/$C$208</f>
        <v>4.2559091403630237E-3</v>
      </c>
      <c r="K159" s="628">
        <f>+D159/$D$208</f>
        <v>6.312917008737047E-2</v>
      </c>
      <c r="L159" s="628">
        <f>+E159/$E$208</f>
        <v>8.0818823767384348E-2</v>
      </c>
      <c r="M159" s="3">
        <f t="shared" si="25"/>
        <v>0</v>
      </c>
    </row>
    <row r="160" spans="1:13" s="36" customFormat="1">
      <c r="A160" s="705" t="s">
        <v>344</v>
      </c>
      <c r="B160" s="706" t="s">
        <v>345</v>
      </c>
      <c r="C160" s="1151">
        <f>+'1.1.mell._ÖNK_Mérleg2019'!C160+'1.2.mell._HKÖH_Mérleg2019'!C160+'1.3.mell._HVÓBKI_Mérleg2019'!C160+'1.4.mell._HKK_Mérleg2019'!C160+'1.5._mell._MŐSZ_Mérleg2019'!C160+'1.6._mell._HVGYKCSSZ_Mérleg2019'!C160</f>
        <v>0</v>
      </c>
      <c r="D160" s="1152">
        <f>+'1.1.mell._ÖNK_Mérleg2019'!D160+'1.2.mell._HKÖH_Mérleg2019'!D160+'1.3.mell._HVÓBKI_Mérleg2019'!D160+'1.4.mell._HKK_Mérleg2019'!D160+'1.5._mell._MŐSZ_Mérleg2019'!D160+'1.6._mell._HVGYKCSSZ_Mérleg2019'!D160</f>
        <v>187057</v>
      </c>
      <c r="E160" s="1152">
        <f>+'1.1.mell._ÖNK_Mérleg2019'!E160+'1.2.mell._HKÖH_Mérleg2019'!E160+'1.3.mell._HVÓBKI_Mérleg2019'!E160+'1.4.mell._HKK_Mérleg2019'!E160+'1.5._mell._MŐSZ_Mérleg2019'!E160+'1.6._mell._HVGYKCSSZ_Mérleg2019'!E160</f>
        <v>187057</v>
      </c>
      <c r="F160" s="1559">
        <f t="shared" si="24"/>
        <v>1</v>
      </c>
      <c r="G160" s="96">
        <f>+'1.1.mell._ÖNK_Mérleg2019'!G160+'1.2.mell._HKÖH_Mérleg2019'!G160+'1.3.mell._HVÓBKI_Mérleg2019'!G160+'1.4.mell._HKK_Mérleg2019'!G160+'1.5._mell._MŐSZ_Mérleg2019'!G160+'1.6._mell._HVGYKCSSZ_Mérleg2019'!G160</f>
        <v>187057</v>
      </c>
      <c r="H160" s="97">
        <f>+'1.1.mell._ÖNK_Mérleg2019'!H160+'1.2.mell._HKÖH_Mérleg2019'!H160+'1.3.mell._HVÓBKI_Mérleg2019'!H160+'1.4.mell._HKK_Mérleg2019'!H160+'1.5._mell._MŐSZ_Mérleg2019'!H160+'1.6._mell._HVGYKCSSZ_Mérleg2019'!H160</f>
        <v>0</v>
      </c>
      <c r="I160" s="98">
        <f>+'1.1.mell._ÖNK_Mérleg2019'!I160+'1.2.mell._HKÖH_Mérleg2019'!I160+'1.3.mell._HVÓBKI_Mérleg2019'!I160+'1.4.mell._HKK_Mérleg2019'!I160+'1.5._mell._MŐSZ_Mérleg2019'!I160+'1.6._mell._HVGYKCSSZ_Mérleg2019'!I160</f>
        <v>0</v>
      </c>
      <c r="M160" s="36">
        <f t="shared" si="25"/>
        <v>0</v>
      </c>
    </row>
    <row r="161" spans="1:15">
      <c r="A161" s="84" t="s">
        <v>69</v>
      </c>
      <c r="B161" s="65" t="s">
        <v>159</v>
      </c>
      <c r="C161" s="1135">
        <f>+'1.1.mell._ÖNK_Mérleg2019'!C161+'1.2.mell._HKÖH_Mérleg2019'!C161+'1.3.mell._HVÓBKI_Mérleg2019'!C161+'1.4.mell._HKK_Mérleg2019'!C161+'1.5._mell._MŐSZ_Mérleg2019'!C161+'1.6._mell._HVGYKCSSZ_Mérleg2019'!C161</f>
        <v>15492</v>
      </c>
      <c r="D161" s="1144">
        <f>+'1.1.mell._ÖNK_Mérleg2019'!D161+'1.2.mell._HKÖH_Mérleg2019'!D161+'1.3.mell._HVÓBKI_Mérleg2019'!D161+'1.4.mell._HKK_Mérleg2019'!D161+'1.5._mell._MŐSZ_Mérleg2019'!D161+'1.6._mell._HVGYKCSSZ_Mérleg2019'!D161</f>
        <v>375288</v>
      </c>
      <c r="E161" s="1144">
        <f>+'1.1.mell._ÖNK_Mérleg2019'!E161+'1.2.mell._HKÖH_Mérleg2019'!E161+'1.3.mell._HVÓBKI_Mérleg2019'!E161+'1.4.mell._HKK_Mérleg2019'!E161+'1.5._mell._MŐSZ_Mérleg2019'!E161+'1.6._mell._HVGYKCSSZ_Mérleg2019'!E161</f>
        <v>208582</v>
      </c>
      <c r="F161" s="1560">
        <f t="shared" si="24"/>
        <v>0.55579181855002024</v>
      </c>
      <c r="G161" s="34">
        <f>+'1.1.mell._ÖNK_Mérleg2019'!G161+'1.2.mell._HKÖH_Mérleg2019'!G161+'1.3.mell._HVÓBKI_Mérleg2019'!G161+'1.4.mell._HKK_Mérleg2019'!G161+'1.5._mell._MŐSZ_Mérleg2019'!G161+'1.6._mell._HVGYKCSSZ_Mérleg2019'!G161</f>
        <v>208582</v>
      </c>
      <c r="H161" s="10">
        <f>+'1.1.mell._ÖNK_Mérleg2019'!H161+'1.2.mell._HKÖH_Mérleg2019'!H161+'1.3.mell._HVÓBKI_Mérleg2019'!H161+'1.4.mell._HKK_Mérleg2019'!H161+'1.5._mell._MŐSZ_Mérleg2019'!H161+'1.6._mell._HVGYKCSSZ_Mérleg2019'!H161</f>
        <v>0</v>
      </c>
      <c r="I161" s="35">
        <f>+'1.1.mell._ÖNK_Mérleg2019'!I161+'1.2.mell._HKÖH_Mérleg2019'!I161+'1.3.mell._HVÓBKI_Mérleg2019'!I161+'1.4.mell._HKK_Mérleg2019'!I161+'1.5._mell._MŐSZ_Mérleg2019'!I161+'1.6._mell._HVGYKCSSZ_Mérleg2019'!I161</f>
        <v>0</v>
      </c>
      <c r="M161" s="4">
        <f t="shared" si="25"/>
        <v>0</v>
      </c>
    </row>
    <row r="162" spans="1:15">
      <c r="A162" s="85" t="s">
        <v>70</v>
      </c>
      <c r="B162" s="67" t="s">
        <v>160</v>
      </c>
      <c r="C162" s="1137">
        <f>+'1.1.mell._ÖNK_Mérleg2019'!C162+'1.2.mell._HKÖH_Mérleg2019'!C162+'1.3.mell._HVÓBKI_Mérleg2019'!C162+'1.4.mell._HKK_Mérleg2019'!C162+'1.5._mell._MŐSZ_Mérleg2019'!C162+'1.6._mell._HVGYKCSSZ_Mérleg2019'!C162</f>
        <v>0</v>
      </c>
      <c r="D162" s="1146">
        <f>+'1.1.mell._ÖNK_Mérleg2019'!D162+'1.2.mell._HKÖH_Mérleg2019'!D162+'1.3.mell._HVÓBKI_Mérleg2019'!D162+'1.4.mell._HKK_Mérleg2019'!D162+'1.5._mell._MŐSZ_Mérleg2019'!D162+'1.6._mell._HVGYKCSSZ_Mérleg2019'!D162</f>
        <v>0</v>
      </c>
      <c r="E162" s="1146">
        <f>+'1.1.mell._ÖNK_Mérleg2019'!E162+'1.2.mell._HKÖH_Mérleg2019'!E162+'1.3.mell._HVÓBKI_Mérleg2019'!E162+'1.4.mell._HKK_Mérleg2019'!E162+'1.5._mell._MŐSZ_Mérleg2019'!E162+'1.6._mell._HVGYKCSSZ_Mérleg2019'!E162</f>
        <v>0</v>
      </c>
      <c r="F162" s="1562" t="str">
        <f t="shared" si="24"/>
        <v>-</v>
      </c>
      <c r="G162" s="20">
        <f>+'1.1.mell._ÖNK_Mérleg2019'!G162+'1.2.mell._HKÖH_Mérleg2019'!G162+'1.3.mell._HVÓBKI_Mérleg2019'!G162+'1.4.mell._HKK_Mérleg2019'!G162+'1.5._mell._MŐSZ_Mérleg2019'!G162+'1.6._mell._HVGYKCSSZ_Mérleg2019'!G162</f>
        <v>0</v>
      </c>
      <c r="H162" s="11">
        <f>+'1.1.mell._ÖNK_Mérleg2019'!H162+'1.2.mell._HKÖH_Mérleg2019'!H162+'1.3.mell._HVÓBKI_Mérleg2019'!H162+'1.4.mell._HKK_Mérleg2019'!H162+'1.5._mell._MŐSZ_Mérleg2019'!H162+'1.6._mell._HVGYKCSSZ_Mérleg2019'!H162</f>
        <v>0</v>
      </c>
      <c r="I162" s="16">
        <f>+'1.1.mell._ÖNK_Mérleg2019'!I162+'1.2.mell._HKÖH_Mérleg2019'!I162+'1.3.mell._HVÓBKI_Mérleg2019'!I162+'1.4.mell._HKK_Mérleg2019'!I162+'1.5._mell._MŐSZ_Mérleg2019'!I162+'1.6._mell._HVGYKCSSZ_Mérleg2019'!I162</f>
        <v>0</v>
      </c>
      <c r="M162" s="4">
        <f t="shared" si="25"/>
        <v>0</v>
      </c>
    </row>
    <row r="163" spans="1:15">
      <c r="A163" s="85" t="s">
        <v>71</v>
      </c>
      <c r="B163" s="67" t="s">
        <v>161</v>
      </c>
      <c r="C163" s="1137">
        <f>+'1.1.mell._ÖNK_Mérleg2019'!C163+'1.2.mell._HKÖH_Mérleg2019'!C163+'1.3.mell._HVÓBKI_Mérleg2019'!C163+'1.4.mell._HKK_Mérleg2019'!C163+'1.5._mell._MŐSZ_Mérleg2019'!C163+'1.6._mell._HVGYKCSSZ_Mérleg2019'!C163</f>
        <v>0</v>
      </c>
      <c r="D163" s="1146">
        <f>+'1.1.mell._ÖNK_Mérleg2019'!D163+'1.2.mell._HKÖH_Mérleg2019'!D163+'1.3.mell._HVÓBKI_Mérleg2019'!D163+'1.4.mell._HKK_Mérleg2019'!D163+'1.5._mell._MŐSZ_Mérleg2019'!D163+'1.6._mell._HVGYKCSSZ_Mérleg2019'!D163</f>
        <v>0</v>
      </c>
      <c r="E163" s="1146">
        <f>+'1.1.mell._ÖNK_Mérleg2019'!E163+'1.2.mell._HKÖH_Mérleg2019'!E163+'1.3.mell._HVÓBKI_Mérleg2019'!E163+'1.4.mell._HKK_Mérleg2019'!E163+'1.5._mell._MŐSZ_Mérleg2019'!E163+'1.6._mell._HVGYKCSSZ_Mérleg2019'!E163</f>
        <v>0</v>
      </c>
      <c r="F163" s="1562" t="str">
        <f t="shared" si="24"/>
        <v>-</v>
      </c>
      <c r="G163" s="20">
        <f>+'1.1.mell._ÖNK_Mérleg2019'!G163+'1.2.mell._HKÖH_Mérleg2019'!G163+'1.3.mell._HVÓBKI_Mérleg2019'!G163+'1.4.mell._HKK_Mérleg2019'!G163+'1.5._mell._MŐSZ_Mérleg2019'!G163+'1.6._mell._HVGYKCSSZ_Mérleg2019'!G163</f>
        <v>0</v>
      </c>
      <c r="H163" s="11">
        <f>+'1.1.mell._ÖNK_Mérleg2019'!H163+'1.2.mell._HKÖH_Mérleg2019'!H163+'1.3.mell._HVÓBKI_Mérleg2019'!H163+'1.4.mell._HKK_Mérleg2019'!H163+'1.5._mell._MŐSZ_Mérleg2019'!H163+'1.6._mell._HVGYKCSSZ_Mérleg2019'!H163</f>
        <v>0</v>
      </c>
      <c r="I163" s="16">
        <f>+'1.1.mell._ÖNK_Mérleg2019'!I163+'1.2.mell._HKÖH_Mérleg2019'!I163+'1.3.mell._HVÓBKI_Mérleg2019'!I163+'1.4.mell._HKK_Mérleg2019'!I163+'1.5._mell._MŐSZ_Mérleg2019'!I163+'1.6._mell._HVGYKCSSZ_Mérleg2019'!I163</f>
        <v>0</v>
      </c>
      <c r="M163" s="4">
        <f t="shared" si="25"/>
        <v>0</v>
      </c>
    </row>
    <row r="164" spans="1:15" ht="12.75" thickBot="1">
      <c r="A164" s="78" t="s">
        <v>72</v>
      </c>
      <c r="B164" s="68" t="s">
        <v>162</v>
      </c>
      <c r="C164" s="1138">
        <f>+'1.1.mell._ÖNK_Mérleg2019'!C164+'1.2.mell._HKÖH_Mérleg2019'!C164+'1.3.mell._HVÓBKI_Mérleg2019'!C164+'1.4.mell._HKK_Mérleg2019'!C164+'1.5._mell._MŐSZ_Mérleg2019'!C164+'1.6._mell._HVGYKCSSZ_Mérleg2019'!C164</f>
        <v>4184</v>
      </c>
      <c r="D164" s="1147">
        <f>+'1.1.mell._ÖNK_Mérleg2019'!D164+'1.2.mell._HKÖH_Mérleg2019'!D164+'1.3.mell._HVÓBKI_Mérleg2019'!D164+'1.4.mell._HKK_Mérleg2019'!D164+'1.5._mell._MŐSZ_Mérleg2019'!D164+'1.6._mell._HVGYKCSSZ_Mérleg2019'!D164</f>
        <v>44410</v>
      </c>
      <c r="E164" s="1147">
        <f>+'1.1.mell._ÖNK_Mérleg2019'!E164+'1.2.mell._HKÖH_Mérleg2019'!E164+'1.3.mell._HVÓBKI_Mérleg2019'!E164+'1.4.mell._HKK_Mérleg2019'!E164+'1.5._mell._MŐSZ_Mérleg2019'!E164+'1.6._mell._HVGYKCSSZ_Mérleg2019'!E164</f>
        <v>43931</v>
      </c>
      <c r="F164" s="1561">
        <f t="shared" si="24"/>
        <v>0.98921414095924343</v>
      </c>
      <c r="G164" s="21">
        <f>+'1.1.mell._ÖNK_Mérleg2019'!G164+'1.2.mell._HKÖH_Mérleg2019'!G164+'1.3.mell._HVÓBKI_Mérleg2019'!G164+'1.4.mell._HKK_Mérleg2019'!G164+'1.5._mell._MŐSZ_Mérleg2019'!G164+'1.6._mell._HVGYKCSSZ_Mérleg2019'!G164</f>
        <v>43931</v>
      </c>
      <c r="H164" s="22">
        <f>+'1.1.mell._ÖNK_Mérleg2019'!H164+'1.2.mell._HKÖH_Mérleg2019'!H164+'1.3.mell._HVÓBKI_Mérleg2019'!H164+'1.4.mell._HKK_Mérleg2019'!H164+'1.5._mell._MŐSZ_Mérleg2019'!H164+'1.6._mell._HVGYKCSSZ_Mérleg2019'!H164</f>
        <v>0</v>
      </c>
      <c r="I164" s="23">
        <f>+'1.1.mell._ÖNK_Mérleg2019'!I164+'1.2.mell._HKÖH_Mérleg2019'!I164+'1.3.mell._HVÓBKI_Mérleg2019'!I164+'1.4.mell._HKK_Mérleg2019'!I164+'1.5._mell._MŐSZ_Mérleg2019'!I164+'1.6._mell._HVGYKCSSZ_Mérleg2019'!I164</f>
        <v>0</v>
      </c>
      <c r="M164" s="4">
        <f t="shared" si="25"/>
        <v>0</v>
      </c>
    </row>
    <row r="165" spans="1:15" s="3" customFormat="1" ht="12.75" thickBot="1">
      <c r="A165" s="83" t="s">
        <v>11</v>
      </c>
      <c r="B165" s="64" t="s">
        <v>936</v>
      </c>
      <c r="C165" s="1134">
        <f t="shared" ref="C165:E165" si="34">+C166+C167+C168+C169+C171+C172+C173+C174+C175</f>
        <v>0</v>
      </c>
      <c r="D165" s="1143">
        <f t="shared" si="34"/>
        <v>18</v>
      </c>
      <c r="E165" s="1143">
        <f t="shared" si="34"/>
        <v>18</v>
      </c>
      <c r="F165" s="1558">
        <f t="shared" si="24"/>
        <v>1</v>
      </c>
      <c r="G165" s="27">
        <f>+G166+G167+G168+G169+G171+G172+G173+G174+G175</f>
        <v>18</v>
      </c>
      <c r="H165" s="28">
        <f>+H166+H167+H168+H169+H171+H172+H173+H174+H175</f>
        <v>0</v>
      </c>
      <c r="I165" s="29">
        <f>+I166+I167+I168+I169+I171+I172+I173+I174+I175</f>
        <v>0</v>
      </c>
      <c r="J165" s="628">
        <f>+C165/$C$208</f>
        <v>0</v>
      </c>
      <c r="K165" s="628">
        <f>+D165/$D$208</f>
        <v>2.7074826698546775E-6</v>
      </c>
      <c r="L165" s="628">
        <f>+E165/$E$208</f>
        <v>5.7610452840563395E-6</v>
      </c>
      <c r="M165" s="3">
        <f t="shared" si="25"/>
        <v>0</v>
      </c>
      <c r="O165" s="1779">
        <f>14.19+2.84+8.47+1.24+62.17+10.09+0.43+0.58</f>
        <v>100.01</v>
      </c>
    </row>
    <row r="166" spans="1:15">
      <c r="A166" s="84" t="s">
        <v>271</v>
      </c>
      <c r="B166" s="65" t="s">
        <v>163</v>
      </c>
      <c r="C166" s="1135">
        <f>+'1.1.mell._ÖNK_Mérleg2019'!C166+'1.2.mell._HKÖH_Mérleg2019'!C166+'1.3.mell._HVÓBKI_Mérleg2019'!C166+'1.4.mell._HKK_Mérleg2019'!C166+'1.5._mell._MŐSZ_Mérleg2019'!C166+'1.6._mell._HVGYKCSSZ_Mérleg2019'!C166</f>
        <v>0</v>
      </c>
      <c r="D166" s="1144">
        <f>+'1.1.mell._ÖNK_Mérleg2019'!D166+'1.2.mell._HKÖH_Mérleg2019'!D166+'1.3.mell._HVÓBKI_Mérleg2019'!D166+'1.4.mell._HKK_Mérleg2019'!D166+'1.5._mell._MŐSZ_Mérleg2019'!D166+'1.6._mell._HVGYKCSSZ_Mérleg2019'!D166</f>
        <v>0</v>
      </c>
      <c r="E166" s="1144">
        <f>+'1.1.mell._ÖNK_Mérleg2019'!E166+'1.2.mell._HKÖH_Mérleg2019'!E166+'1.3.mell._HVÓBKI_Mérleg2019'!E166+'1.4.mell._HKK_Mérleg2019'!E166+'1.5._mell._MŐSZ_Mérleg2019'!E166+'1.6._mell._HVGYKCSSZ_Mérleg2019'!E166</f>
        <v>0</v>
      </c>
      <c r="F166" s="1560" t="str">
        <f t="shared" si="24"/>
        <v>-</v>
      </c>
      <c r="G166" s="34">
        <f>+'1.1.mell._ÖNK_Mérleg2019'!G166+'1.2.mell._HKÖH_Mérleg2019'!G166+'1.3.mell._HVÓBKI_Mérleg2019'!G166+'1.4.mell._HKK_Mérleg2019'!G166+'1.5._mell._MŐSZ_Mérleg2019'!G166+'1.6._mell._HVGYKCSSZ_Mérleg2019'!G166</f>
        <v>0</v>
      </c>
      <c r="H166" s="10">
        <f>+'1.1.mell._ÖNK_Mérleg2019'!H166+'1.2.mell._HKÖH_Mérleg2019'!H166+'1.3.mell._HVÓBKI_Mérleg2019'!H166+'1.4.mell._HKK_Mérleg2019'!H166+'1.5._mell._MŐSZ_Mérleg2019'!H166+'1.6._mell._HVGYKCSSZ_Mérleg2019'!H166</f>
        <v>0</v>
      </c>
      <c r="I166" s="35">
        <f>+'1.1.mell._ÖNK_Mérleg2019'!I166+'1.2.mell._HKÖH_Mérleg2019'!I166+'1.3.mell._HVÓBKI_Mérleg2019'!I166+'1.4.mell._HKK_Mérleg2019'!I166+'1.5._mell._MŐSZ_Mérleg2019'!I166+'1.6._mell._HVGYKCSSZ_Mérleg2019'!I166</f>
        <v>0</v>
      </c>
      <c r="M166" s="4">
        <f t="shared" si="25"/>
        <v>0</v>
      </c>
    </row>
    <row r="167" spans="1:15">
      <c r="A167" s="85" t="s">
        <v>272</v>
      </c>
      <c r="B167" s="67" t="s">
        <v>164</v>
      </c>
      <c r="C167" s="1137">
        <f>+'1.1.mell._ÖNK_Mérleg2019'!C167+'1.2.mell._HKÖH_Mérleg2019'!C167+'1.3.mell._HVÓBKI_Mérleg2019'!C167+'1.4.mell._HKK_Mérleg2019'!C167+'1.5._mell._MŐSZ_Mérleg2019'!C167+'1.6._mell._HVGYKCSSZ_Mérleg2019'!C167</f>
        <v>0</v>
      </c>
      <c r="D167" s="1146">
        <f>+'1.1.mell._ÖNK_Mérleg2019'!D167+'1.2.mell._HKÖH_Mérleg2019'!D167+'1.3.mell._HVÓBKI_Mérleg2019'!D167+'1.4.mell._HKK_Mérleg2019'!D167+'1.5._mell._MŐSZ_Mérleg2019'!D167+'1.6._mell._HVGYKCSSZ_Mérleg2019'!D167</f>
        <v>0</v>
      </c>
      <c r="E167" s="1146">
        <f>+'1.1.mell._ÖNK_Mérleg2019'!E167+'1.2.mell._HKÖH_Mérleg2019'!E167+'1.3.mell._HVÓBKI_Mérleg2019'!E167+'1.4.mell._HKK_Mérleg2019'!E167+'1.5._mell._MŐSZ_Mérleg2019'!E167+'1.6._mell._HVGYKCSSZ_Mérleg2019'!E167</f>
        <v>0</v>
      </c>
      <c r="F167" s="1562" t="str">
        <f t="shared" si="24"/>
        <v>-</v>
      </c>
      <c r="G167" s="20">
        <f>+'1.1.mell._ÖNK_Mérleg2019'!G167+'1.2.mell._HKÖH_Mérleg2019'!G167+'1.3.mell._HVÓBKI_Mérleg2019'!G167+'1.4.mell._HKK_Mérleg2019'!G167+'1.5._mell._MŐSZ_Mérleg2019'!G167+'1.6._mell._HVGYKCSSZ_Mérleg2019'!G167</f>
        <v>0</v>
      </c>
      <c r="H167" s="11">
        <f>+'1.1.mell._ÖNK_Mérleg2019'!H167+'1.2.mell._HKÖH_Mérleg2019'!H167+'1.3.mell._HVÓBKI_Mérleg2019'!H167+'1.4.mell._HKK_Mérleg2019'!H167+'1.5._mell._MŐSZ_Mérleg2019'!H167+'1.6._mell._HVGYKCSSZ_Mérleg2019'!H167</f>
        <v>0</v>
      </c>
      <c r="I167" s="16">
        <f>+'1.1.mell._ÖNK_Mérleg2019'!I167+'1.2.mell._HKÖH_Mérleg2019'!I167+'1.3.mell._HVÓBKI_Mérleg2019'!I167+'1.4.mell._HKK_Mérleg2019'!I167+'1.5._mell._MŐSZ_Mérleg2019'!I167+'1.6._mell._HVGYKCSSZ_Mérleg2019'!I167</f>
        <v>0</v>
      </c>
      <c r="M167" s="4">
        <f t="shared" si="25"/>
        <v>0</v>
      </c>
    </row>
    <row r="168" spans="1:15">
      <c r="A168" s="85" t="s">
        <v>273</v>
      </c>
      <c r="B168" s="67" t="s">
        <v>165</v>
      </c>
      <c r="C168" s="1137">
        <f>+'1.1.mell._ÖNK_Mérleg2019'!C168+'1.2.mell._HKÖH_Mérleg2019'!C168+'1.3.mell._HVÓBKI_Mérleg2019'!C168+'1.4.mell._HKK_Mérleg2019'!C168+'1.5._mell._MŐSZ_Mérleg2019'!C168+'1.6._mell._HVGYKCSSZ_Mérleg2019'!C168</f>
        <v>0</v>
      </c>
      <c r="D168" s="1146">
        <f>+'1.1.mell._ÖNK_Mérleg2019'!D168+'1.2.mell._HKÖH_Mérleg2019'!D168+'1.3.mell._HVÓBKI_Mérleg2019'!D168+'1.4.mell._HKK_Mérleg2019'!D168+'1.5._mell._MŐSZ_Mérleg2019'!D168+'1.6._mell._HVGYKCSSZ_Mérleg2019'!D168</f>
        <v>0</v>
      </c>
      <c r="E168" s="1146">
        <f>+'1.1.mell._ÖNK_Mérleg2019'!E168+'1.2.mell._HKÖH_Mérleg2019'!E168+'1.3.mell._HVÓBKI_Mérleg2019'!E168+'1.4.mell._HKK_Mérleg2019'!E168+'1.5._mell._MŐSZ_Mérleg2019'!E168+'1.6._mell._HVGYKCSSZ_Mérleg2019'!E168</f>
        <v>0</v>
      </c>
      <c r="F168" s="1562" t="str">
        <f t="shared" si="24"/>
        <v>-</v>
      </c>
      <c r="G168" s="20">
        <f>+'1.1.mell._ÖNK_Mérleg2019'!G168+'1.2.mell._HKÖH_Mérleg2019'!G168+'1.3.mell._HVÓBKI_Mérleg2019'!G168+'1.4.mell._HKK_Mérleg2019'!G168+'1.5._mell._MŐSZ_Mérleg2019'!G168+'1.6._mell._HVGYKCSSZ_Mérleg2019'!G168</f>
        <v>0</v>
      </c>
      <c r="H168" s="11">
        <f>+'1.1.mell._ÖNK_Mérleg2019'!H168+'1.2.mell._HKÖH_Mérleg2019'!H168+'1.3.mell._HVÓBKI_Mérleg2019'!H168+'1.4.mell._HKK_Mérleg2019'!H168+'1.5._mell._MŐSZ_Mérleg2019'!H168+'1.6._mell._HVGYKCSSZ_Mérleg2019'!H168</f>
        <v>0</v>
      </c>
      <c r="I168" s="16">
        <f>+'1.1.mell._ÖNK_Mérleg2019'!I168+'1.2.mell._HKÖH_Mérleg2019'!I168+'1.3.mell._HVÓBKI_Mérleg2019'!I168+'1.4.mell._HKK_Mérleg2019'!I168+'1.5._mell._MŐSZ_Mérleg2019'!I168+'1.6._mell._HVGYKCSSZ_Mérleg2019'!I168</f>
        <v>0</v>
      </c>
      <c r="M168" s="4">
        <f t="shared" si="25"/>
        <v>0</v>
      </c>
    </row>
    <row r="169" spans="1:15">
      <c r="A169" s="85" t="s">
        <v>274</v>
      </c>
      <c r="B169" s="67" t="s">
        <v>166</v>
      </c>
      <c r="C169" s="1137">
        <f>+'1.1.mell._ÖNK_Mérleg2019'!C169+'1.2.mell._HKÖH_Mérleg2019'!C169+'1.3.mell._HVÓBKI_Mérleg2019'!C169+'1.4.mell._HKK_Mérleg2019'!C169+'1.5._mell._MŐSZ_Mérleg2019'!C169+'1.6._mell._HVGYKCSSZ_Mérleg2019'!C169</f>
        <v>0</v>
      </c>
      <c r="D169" s="1146">
        <f>+'1.1.mell._ÖNK_Mérleg2019'!D169+'1.2.mell._HKÖH_Mérleg2019'!D169+'1.3.mell._HVÓBKI_Mérleg2019'!D169+'1.4.mell._HKK_Mérleg2019'!D169+'1.5._mell._MŐSZ_Mérleg2019'!D169+'1.6._mell._HVGYKCSSZ_Mérleg2019'!D169</f>
        <v>0</v>
      </c>
      <c r="E169" s="1146">
        <f>+'1.1.mell._ÖNK_Mérleg2019'!E169+'1.2.mell._HKÖH_Mérleg2019'!E169+'1.3.mell._HVÓBKI_Mérleg2019'!E169+'1.4.mell._HKK_Mérleg2019'!E169+'1.5._mell._MŐSZ_Mérleg2019'!E169+'1.6._mell._HVGYKCSSZ_Mérleg2019'!E169</f>
        <v>0</v>
      </c>
      <c r="F169" s="1562" t="str">
        <f t="shared" si="24"/>
        <v>-</v>
      </c>
      <c r="G169" s="20">
        <f>+'1.1.mell._ÖNK_Mérleg2019'!G169+'1.2.mell._HKÖH_Mérleg2019'!G169+'1.3.mell._HVÓBKI_Mérleg2019'!G169+'1.4.mell._HKK_Mérleg2019'!G169+'1.5._mell._MŐSZ_Mérleg2019'!G169+'1.6._mell._HVGYKCSSZ_Mérleg2019'!G169</f>
        <v>0</v>
      </c>
      <c r="H169" s="11">
        <f>+'1.1.mell._ÖNK_Mérleg2019'!H169+'1.2.mell._HKÖH_Mérleg2019'!H169+'1.3.mell._HVÓBKI_Mérleg2019'!H169+'1.4.mell._HKK_Mérleg2019'!H169+'1.5._mell._MŐSZ_Mérleg2019'!H169+'1.6._mell._HVGYKCSSZ_Mérleg2019'!H169</f>
        <v>0</v>
      </c>
      <c r="I169" s="16">
        <f>+'1.1.mell._ÖNK_Mérleg2019'!I169+'1.2.mell._HKÖH_Mérleg2019'!I169+'1.3.mell._HVÓBKI_Mérleg2019'!I169+'1.4.mell._HKK_Mérleg2019'!I169+'1.5._mell._MŐSZ_Mérleg2019'!I169+'1.6._mell._HVGYKCSSZ_Mérleg2019'!I169</f>
        <v>0</v>
      </c>
      <c r="M169" s="4">
        <f t="shared" si="25"/>
        <v>0</v>
      </c>
    </row>
    <row r="170" spans="1:15" s="13" customFormat="1">
      <c r="A170" s="89" t="s">
        <v>339</v>
      </c>
      <c r="B170" s="704" t="s">
        <v>340</v>
      </c>
      <c r="C170" s="1139">
        <f>+'1.1.mell._ÖNK_Mérleg2019'!C170+'1.2.mell._HKÖH_Mérleg2019'!C170+'1.3.mell._HVÓBKI_Mérleg2019'!C170+'1.4.mell._HKK_Mérleg2019'!C170+'1.5._mell._MŐSZ_Mérleg2019'!C170+'1.6._mell._HVGYKCSSZ_Mérleg2019'!C170</f>
        <v>0</v>
      </c>
      <c r="D170" s="1148">
        <f>+'1.1.mell._ÖNK_Mérleg2019'!D170+'1.2.mell._HKÖH_Mérleg2019'!D170+'1.3.mell._HVÓBKI_Mérleg2019'!D170+'1.4.mell._HKK_Mérleg2019'!D170+'1.5._mell._MŐSZ_Mérleg2019'!D170+'1.6._mell._HVGYKCSSZ_Mérleg2019'!D170</f>
        <v>0</v>
      </c>
      <c r="E170" s="1148">
        <f>+'1.1.mell._ÖNK_Mérleg2019'!E170+'1.2.mell._HKÖH_Mérleg2019'!E170+'1.3.mell._HVÓBKI_Mérleg2019'!E170+'1.4.mell._HKK_Mérleg2019'!E170+'1.5._mell._MŐSZ_Mérleg2019'!E170+'1.6._mell._HVGYKCSSZ_Mérleg2019'!E170</f>
        <v>0</v>
      </c>
      <c r="F170" s="1561" t="str">
        <f t="shared" si="24"/>
        <v>-</v>
      </c>
      <c r="G170" s="45">
        <f>+'1.1.mell._ÖNK_Mérleg2019'!G170+'1.2.mell._HKÖH_Mérleg2019'!G170+'1.3.mell._HVÓBKI_Mérleg2019'!G170+'1.4.mell._HKK_Mérleg2019'!G170+'1.5._mell._MŐSZ_Mérleg2019'!G170+'1.6._mell._HVGYKCSSZ_Mérleg2019'!G170</f>
        <v>0</v>
      </c>
      <c r="H170" s="43">
        <f>+'1.1.mell._ÖNK_Mérleg2019'!H170+'1.2.mell._HKÖH_Mérleg2019'!H170+'1.3.mell._HVÓBKI_Mérleg2019'!H170+'1.4.mell._HKK_Mérleg2019'!H170+'1.5._mell._MŐSZ_Mérleg2019'!H170+'1.6._mell._HVGYKCSSZ_Mérleg2019'!H170</f>
        <v>0</v>
      </c>
      <c r="I170" s="44">
        <f>+'1.1.mell._ÖNK_Mérleg2019'!I170+'1.2.mell._HKÖH_Mérleg2019'!I170+'1.3.mell._HVÓBKI_Mérleg2019'!I170+'1.4.mell._HKK_Mérleg2019'!I170+'1.5._mell._MŐSZ_Mérleg2019'!I170+'1.6._mell._HVGYKCSSZ_Mérleg2019'!I170</f>
        <v>0</v>
      </c>
      <c r="M170" s="13">
        <f t="shared" si="25"/>
        <v>0</v>
      </c>
    </row>
    <row r="171" spans="1:15">
      <c r="A171" s="85" t="s">
        <v>275</v>
      </c>
      <c r="B171" s="67" t="s">
        <v>167</v>
      </c>
      <c r="C171" s="1137">
        <f>+'1.1.mell._ÖNK_Mérleg2019'!C171+'1.2.mell._HKÖH_Mérleg2019'!C171+'1.3.mell._HVÓBKI_Mérleg2019'!C171+'1.4.mell._HKK_Mérleg2019'!C171+'1.5._mell._MŐSZ_Mérleg2019'!C171+'1.6._mell._HVGYKCSSZ_Mérleg2019'!C171</f>
        <v>0</v>
      </c>
      <c r="D171" s="1146">
        <f>+'1.1.mell._ÖNK_Mérleg2019'!D171+'1.2.mell._HKÖH_Mérleg2019'!D171+'1.3.mell._HVÓBKI_Mérleg2019'!D171+'1.4.mell._HKK_Mérleg2019'!D171+'1.5._mell._MŐSZ_Mérleg2019'!D171+'1.6._mell._HVGYKCSSZ_Mérleg2019'!D171</f>
        <v>0</v>
      </c>
      <c r="E171" s="1146">
        <f>+'1.1.mell._ÖNK_Mérleg2019'!E171+'1.2.mell._HKÖH_Mérleg2019'!E171+'1.3.mell._HVÓBKI_Mérleg2019'!E171+'1.4.mell._HKK_Mérleg2019'!E171+'1.5._mell._MŐSZ_Mérleg2019'!E171+'1.6._mell._HVGYKCSSZ_Mérleg2019'!E171</f>
        <v>0</v>
      </c>
      <c r="F171" s="1562" t="str">
        <f t="shared" si="24"/>
        <v>-</v>
      </c>
      <c r="G171" s="20">
        <f>+'1.1.mell._ÖNK_Mérleg2019'!G171+'1.2.mell._HKÖH_Mérleg2019'!G171+'1.3.mell._HVÓBKI_Mérleg2019'!G171+'1.4.mell._HKK_Mérleg2019'!G171+'1.5._mell._MŐSZ_Mérleg2019'!G171+'1.6._mell._HVGYKCSSZ_Mérleg2019'!G171</f>
        <v>0</v>
      </c>
      <c r="H171" s="11">
        <f>+'1.1.mell._ÖNK_Mérleg2019'!H171+'1.2.mell._HKÖH_Mérleg2019'!H171+'1.3.mell._HVÓBKI_Mérleg2019'!H171+'1.4.mell._HKK_Mérleg2019'!H171+'1.5._mell._MŐSZ_Mérleg2019'!H171+'1.6._mell._HVGYKCSSZ_Mérleg2019'!H171</f>
        <v>0</v>
      </c>
      <c r="I171" s="16">
        <f>+'1.1.mell._ÖNK_Mérleg2019'!I171+'1.2.mell._HKÖH_Mérleg2019'!I171+'1.3.mell._HVÓBKI_Mérleg2019'!I171+'1.4.mell._HKK_Mérleg2019'!I171+'1.5._mell._MŐSZ_Mérleg2019'!I171+'1.6._mell._HVGYKCSSZ_Mérleg2019'!I171</f>
        <v>0</v>
      </c>
      <c r="M171" s="4">
        <f t="shared" si="25"/>
        <v>0</v>
      </c>
    </row>
    <row r="172" spans="1:15">
      <c r="A172" s="85" t="s">
        <v>276</v>
      </c>
      <c r="B172" s="67" t="s">
        <v>168</v>
      </c>
      <c r="C172" s="1137">
        <f>+'1.1.mell._ÖNK_Mérleg2019'!C172+'1.2.mell._HKÖH_Mérleg2019'!C172+'1.3.mell._HVÓBKI_Mérleg2019'!C172+'1.4.mell._HKK_Mérleg2019'!C172+'1.5._mell._MŐSZ_Mérleg2019'!C172+'1.6._mell._HVGYKCSSZ_Mérleg2019'!C172</f>
        <v>0</v>
      </c>
      <c r="D172" s="1146">
        <f>+'1.1.mell._ÖNK_Mérleg2019'!D172+'1.2.mell._HKÖH_Mérleg2019'!D172+'1.3.mell._HVÓBKI_Mérleg2019'!D172+'1.4.mell._HKK_Mérleg2019'!D172+'1.5._mell._MŐSZ_Mérleg2019'!D172+'1.6._mell._HVGYKCSSZ_Mérleg2019'!D172</f>
        <v>0</v>
      </c>
      <c r="E172" s="1146">
        <f>+'1.1.mell._ÖNK_Mérleg2019'!E172+'1.2.mell._HKÖH_Mérleg2019'!E172+'1.3.mell._HVÓBKI_Mérleg2019'!E172+'1.4.mell._HKK_Mérleg2019'!E172+'1.5._mell._MŐSZ_Mérleg2019'!E172+'1.6._mell._HVGYKCSSZ_Mérleg2019'!E172</f>
        <v>0</v>
      </c>
      <c r="F172" s="1562" t="str">
        <f t="shared" si="24"/>
        <v>-</v>
      </c>
      <c r="G172" s="20">
        <f>+'1.1.mell._ÖNK_Mérleg2019'!G172+'1.2.mell._HKÖH_Mérleg2019'!G172+'1.3.mell._HVÓBKI_Mérleg2019'!G172+'1.4.mell._HKK_Mérleg2019'!G172+'1.5._mell._MŐSZ_Mérleg2019'!G172+'1.6._mell._HVGYKCSSZ_Mérleg2019'!G172</f>
        <v>0</v>
      </c>
      <c r="H172" s="11">
        <f>+'1.1.mell._ÖNK_Mérleg2019'!H172+'1.2.mell._HKÖH_Mérleg2019'!H172+'1.3.mell._HVÓBKI_Mérleg2019'!H172+'1.4.mell._HKK_Mérleg2019'!H172+'1.5._mell._MŐSZ_Mérleg2019'!H172+'1.6._mell._HVGYKCSSZ_Mérleg2019'!H172</f>
        <v>0</v>
      </c>
      <c r="I172" s="16">
        <f>+'1.1.mell._ÖNK_Mérleg2019'!I172+'1.2.mell._HKÖH_Mérleg2019'!I172+'1.3.mell._HVÓBKI_Mérleg2019'!I172+'1.4.mell._HKK_Mérleg2019'!I172+'1.5._mell._MŐSZ_Mérleg2019'!I172+'1.6._mell._HVGYKCSSZ_Mérleg2019'!I172</f>
        <v>0</v>
      </c>
      <c r="M172" s="4">
        <f t="shared" si="25"/>
        <v>0</v>
      </c>
    </row>
    <row r="173" spans="1:15">
      <c r="A173" s="85" t="s">
        <v>277</v>
      </c>
      <c r="B173" s="67" t="s">
        <v>169</v>
      </c>
      <c r="C173" s="1137">
        <f>+'1.1.mell._ÖNK_Mérleg2019'!C173+'1.2.mell._HKÖH_Mérleg2019'!C173+'1.3.mell._HVÓBKI_Mérleg2019'!C173+'1.4.mell._HKK_Mérleg2019'!C173+'1.5._mell._MŐSZ_Mérleg2019'!C173+'1.6._mell._HVGYKCSSZ_Mérleg2019'!C173</f>
        <v>0</v>
      </c>
      <c r="D173" s="1146">
        <f>+'1.1.mell._ÖNK_Mérleg2019'!D173+'1.2.mell._HKÖH_Mérleg2019'!D173+'1.3.mell._HVÓBKI_Mérleg2019'!D173+'1.4.mell._HKK_Mérleg2019'!D173+'1.5._mell._MŐSZ_Mérleg2019'!D173+'1.6._mell._HVGYKCSSZ_Mérleg2019'!D173</f>
        <v>0</v>
      </c>
      <c r="E173" s="1146">
        <f>+'1.1.mell._ÖNK_Mérleg2019'!E173+'1.2.mell._HKÖH_Mérleg2019'!E173+'1.3.mell._HVÓBKI_Mérleg2019'!E173+'1.4.mell._HKK_Mérleg2019'!E173+'1.5._mell._MŐSZ_Mérleg2019'!E173+'1.6._mell._HVGYKCSSZ_Mérleg2019'!E173</f>
        <v>0</v>
      </c>
      <c r="F173" s="1562" t="str">
        <f t="shared" ref="F173:F208" si="35">IF(ISERROR(E173/D173),"-",E173/D173)</f>
        <v>-</v>
      </c>
      <c r="G173" s="20">
        <f>+'1.1.mell._ÖNK_Mérleg2019'!G173+'1.2.mell._HKÖH_Mérleg2019'!G173+'1.3.mell._HVÓBKI_Mérleg2019'!G173+'1.4.mell._HKK_Mérleg2019'!G173+'1.5._mell._MŐSZ_Mérleg2019'!G173+'1.6._mell._HVGYKCSSZ_Mérleg2019'!G173</f>
        <v>0</v>
      </c>
      <c r="H173" s="11">
        <f>+'1.1.mell._ÖNK_Mérleg2019'!H173+'1.2.mell._HKÖH_Mérleg2019'!H173+'1.3.mell._HVÓBKI_Mérleg2019'!H173+'1.4.mell._HKK_Mérleg2019'!H173+'1.5._mell._MŐSZ_Mérleg2019'!H173+'1.6._mell._HVGYKCSSZ_Mérleg2019'!H173</f>
        <v>0</v>
      </c>
      <c r="I173" s="16">
        <f>+'1.1.mell._ÖNK_Mérleg2019'!I173+'1.2.mell._HKÖH_Mérleg2019'!I173+'1.3.mell._HVÓBKI_Mérleg2019'!I173+'1.4.mell._HKK_Mérleg2019'!I173+'1.5._mell._MŐSZ_Mérleg2019'!I173+'1.6._mell._HVGYKCSSZ_Mérleg2019'!I173</f>
        <v>0</v>
      </c>
      <c r="M173" s="4">
        <f t="shared" ref="M173:M208" si="36">+E173-G173-H173-I173</f>
        <v>0</v>
      </c>
    </row>
    <row r="174" spans="1:15">
      <c r="A174" s="85" t="s">
        <v>278</v>
      </c>
      <c r="B174" s="67" t="s">
        <v>937</v>
      </c>
      <c r="C174" s="1137">
        <f>+'1.1.mell._ÖNK_Mérleg2019'!C174+'1.2.mell._HKÖH_Mérleg2019'!C174+'1.3.mell._HVÓBKI_Mérleg2019'!C174+'1.4.mell._HKK_Mérleg2019'!C174+'1.5._mell._MŐSZ_Mérleg2019'!C174+'1.6._mell._HVGYKCSSZ_Mérleg2019'!C174</f>
        <v>0</v>
      </c>
      <c r="D174" s="1146">
        <f>+'1.1.mell._ÖNK_Mérleg2019'!D174+'1.2.mell._HKÖH_Mérleg2019'!D174+'1.3.mell._HVÓBKI_Mérleg2019'!D174+'1.4.mell._HKK_Mérleg2019'!D174+'1.5._mell._MŐSZ_Mérleg2019'!D174+'1.6._mell._HVGYKCSSZ_Mérleg2019'!D174</f>
        <v>0</v>
      </c>
      <c r="E174" s="1146">
        <f>+'1.1.mell._ÖNK_Mérleg2019'!E174+'1.2.mell._HKÖH_Mérleg2019'!E174+'1.3.mell._HVÓBKI_Mérleg2019'!E174+'1.4.mell._HKK_Mérleg2019'!E174+'1.5._mell._MŐSZ_Mérleg2019'!E174+'1.6._mell._HVGYKCSSZ_Mérleg2019'!E174</f>
        <v>0</v>
      </c>
      <c r="F174" s="1562" t="str">
        <f t="shared" si="35"/>
        <v>-</v>
      </c>
      <c r="G174" s="20">
        <f>+'1.1.mell._ÖNK_Mérleg2019'!G174+'1.2.mell._HKÖH_Mérleg2019'!G174+'1.3.mell._HVÓBKI_Mérleg2019'!G174+'1.4.mell._HKK_Mérleg2019'!G174+'1.5._mell._MŐSZ_Mérleg2019'!G174+'1.6._mell._HVGYKCSSZ_Mérleg2019'!G174</f>
        <v>0</v>
      </c>
      <c r="H174" s="11">
        <f>+'1.1.mell._ÖNK_Mérleg2019'!H174+'1.2.mell._HKÖH_Mérleg2019'!H174+'1.3.mell._HVÓBKI_Mérleg2019'!H174+'1.4.mell._HKK_Mérleg2019'!H174+'1.5._mell._MŐSZ_Mérleg2019'!H174+'1.6._mell._HVGYKCSSZ_Mérleg2019'!H174</f>
        <v>0</v>
      </c>
      <c r="I174" s="16">
        <f>+'1.1.mell._ÖNK_Mérleg2019'!I174+'1.2.mell._HKÖH_Mérleg2019'!I174+'1.3.mell._HVÓBKI_Mérleg2019'!I174+'1.4.mell._HKK_Mérleg2019'!I174+'1.5._mell._MŐSZ_Mérleg2019'!I174+'1.6._mell._HVGYKCSSZ_Mérleg2019'!I174</f>
        <v>0</v>
      </c>
      <c r="M174" s="4">
        <f t="shared" si="36"/>
        <v>0</v>
      </c>
    </row>
    <row r="175" spans="1:15" ht="12.75" thickBot="1">
      <c r="A175" s="78" t="s">
        <v>935</v>
      </c>
      <c r="B175" s="68" t="s">
        <v>938</v>
      </c>
      <c r="C175" s="1138">
        <f>+'1.1.mell._ÖNK_Mérleg2019'!C175+'1.2.mell._HKÖH_Mérleg2019'!C175+'1.3.mell._HVÓBKI_Mérleg2019'!C175+'1.4.mell._HKK_Mérleg2019'!C175+'1.5._mell._MŐSZ_Mérleg2019'!C175+'1.6._mell._HVGYKCSSZ_Mérleg2019'!C175</f>
        <v>0</v>
      </c>
      <c r="D175" s="1147">
        <f>+'1.1.mell._ÖNK_Mérleg2019'!D175+'1.2.mell._HKÖH_Mérleg2019'!D175+'1.3.mell._HVÓBKI_Mérleg2019'!D175+'1.4.mell._HKK_Mérleg2019'!D175+'1.5._mell._MŐSZ_Mérleg2019'!D175+'1.6._mell._HVGYKCSSZ_Mérleg2019'!D175</f>
        <v>18</v>
      </c>
      <c r="E175" s="1147">
        <f>+'1.1.mell._ÖNK_Mérleg2019'!E175+'1.2.mell._HKÖH_Mérleg2019'!E175+'1.3.mell._HVÓBKI_Mérleg2019'!E175+'1.4.mell._HKK_Mérleg2019'!E175+'1.5._mell._MŐSZ_Mérleg2019'!E175+'1.6._mell._HVGYKCSSZ_Mérleg2019'!E175</f>
        <v>18</v>
      </c>
      <c r="F175" s="1561">
        <f t="shared" si="35"/>
        <v>1</v>
      </c>
      <c r="G175" s="21">
        <f>+'1.1.mell._ÖNK_Mérleg2019'!G175+'1.2.mell._HKÖH_Mérleg2019'!G175+'1.3.mell._HVÓBKI_Mérleg2019'!G175+'1.4.mell._HKK_Mérleg2019'!G175+'1.5._mell._MŐSZ_Mérleg2019'!G175+'1.6._mell._HVGYKCSSZ_Mérleg2019'!G175</f>
        <v>18</v>
      </c>
      <c r="H175" s="22">
        <f>+'1.1.mell._ÖNK_Mérleg2019'!H175+'1.2.mell._HKÖH_Mérleg2019'!H175+'1.3.mell._HVÓBKI_Mérleg2019'!H175+'1.4.mell._HKK_Mérleg2019'!H175+'1.5._mell._MŐSZ_Mérleg2019'!H175+'1.6._mell._HVGYKCSSZ_Mérleg2019'!H175</f>
        <v>0</v>
      </c>
      <c r="I175" s="23">
        <f>+'1.1.mell._ÖNK_Mérleg2019'!I175+'1.2.mell._HKÖH_Mérleg2019'!I175+'1.3.mell._HVÓBKI_Mérleg2019'!I175+'1.4.mell._HKK_Mérleg2019'!I175+'1.5._mell._MŐSZ_Mérleg2019'!I175+'1.6._mell._HVGYKCSSZ_Mérleg2019'!I175</f>
        <v>0</v>
      </c>
      <c r="M175" s="4">
        <f t="shared" si="36"/>
        <v>0</v>
      </c>
    </row>
    <row r="176" spans="1:15" s="3" customFormat="1" ht="12.75" thickBot="1">
      <c r="A176" s="83" t="s">
        <v>10</v>
      </c>
      <c r="B176" s="69" t="s">
        <v>314</v>
      </c>
      <c r="C176" s="1134">
        <f t="shared" ref="C176:E176" si="37">+C109+C149</f>
        <v>4596548</v>
      </c>
      <c r="D176" s="1143">
        <f t="shared" si="37"/>
        <v>6556294</v>
      </c>
      <c r="E176" s="1143">
        <f t="shared" si="37"/>
        <v>3032485</v>
      </c>
      <c r="F176" s="1558">
        <f t="shared" si="35"/>
        <v>0.46253035632630263</v>
      </c>
      <c r="G176" s="27">
        <f>+G109+G149</f>
        <v>2973653</v>
      </c>
      <c r="H176" s="28">
        <f>+H109+H149</f>
        <v>51620</v>
      </c>
      <c r="I176" s="29">
        <f>+I109+I149</f>
        <v>7212</v>
      </c>
      <c r="J176" s="628">
        <f>+C176/$C$208</f>
        <v>0.99423107579372727</v>
      </c>
      <c r="K176" s="628">
        <f>+D176/$D$208</f>
        <v>0.98616957685956674</v>
      </c>
      <c r="L176" s="628">
        <f>+E176/$E$208</f>
        <v>0.97057130045675488</v>
      </c>
      <c r="M176" s="3">
        <f t="shared" si="36"/>
        <v>0</v>
      </c>
    </row>
    <row r="177" spans="1:13" s="3" customFormat="1" ht="12.75" thickBot="1">
      <c r="A177" s="83" t="s">
        <v>9</v>
      </c>
      <c r="B177" s="70" t="s">
        <v>315</v>
      </c>
      <c r="C177" s="1134">
        <f t="shared" ref="C177:E177" si="38">+C178</f>
        <v>26671</v>
      </c>
      <c r="D177" s="1143">
        <f t="shared" si="38"/>
        <v>91948</v>
      </c>
      <c r="E177" s="1143">
        <f t="shared" si="38"/>
        <v>91948</v>
      </c>
      <c r="F177" s="1558">
        <f t="shared" si="35"/>
        <v>1</v>
      </c>
      <c r="G177" s="27">
        <f>+G178</f>
        <v>91948</v>
      </c>
      <c r="H177" s="28">
        <f>+H178</f>
        <v>0</v>
      </c>
      <c r="I177" s="29">
        <f>+I178</f>
        <v>0</v>
      </c>
      <c r="J177" s="628">
        <f>+C177/$C$208</f>
        <v>5.7689242062727289E-3</v>
      </c>
      <c r="K177" s="628">
        <f>+D177/$D$208</f>
        <v>1.3830423140433215E-2</v>
      </c>
      <c r="L177" s="628">
        <f>+E177/$E$208</f>
        <v>2.9428699543245125E-2</v>
      </c>
      <c r="M177" s="3">
        <f t="shared" si="36"/>
        <v>0</v>
      </c>
    </row>
    <row r="178" spans="1:13" s="3" customFormat="1" ht="12.75" thickBot="1">
      <c r="A178" s="83" t="s">
        <v>45</v>
      </c>
      <c r="B178" s="64" t="s">
        <v>945</v>
      </c>
      <c r="C178" s="1134">
        <f t="shared" ref="C178:E178" si="39">+C179+C189+C190+C191</f>
        <v>26671</v>
      </c>
      <c r="D178" s="1143">
        <f t="shared" si="39"/>
        <v>91948</v>
      </c>
      <c r="E178" s="1143">
        <f t="shared" si="39"/>
        <v>91948</v>
      </c>
      <c r="F178" s="1558">
        <f t="shared" si="35"/>
        <v>1</v>
      </c>
      <c r="G178" s="27">
        <f>+G179+G189+G190+G191</f>
        <v>91948</v>
      </c>
      <c r="H178" s="28">
        <f>+H179+H189+H190+H191</f>
        <v>0</v>
      </c>
      <c r="I178" s="29">
        <f>+I179+I189+I190+I191</f>
        <v>0</v>
      </c>
      <c r="J178" s="628">
        <f>+C178/$C$208</f>
        <v>5.7689242062727289E-3</v>
      </c>
      <c r="K178" s="628">
        <f>+D178/$D$208</f>
        <v>1.3830423140433215E-2</v>
      </c>
      <c r="L178" s="628">
        <f>+E178/$E$208</f>
        <v>2.9428699543245125E-2</v>
      </c>
      <c r="M178" s="3">
        <f t="shared" si="36"/>
        <v>0</v>
      </c>
    </row>
    <row r="179" spans="1:13">
      <c r="A179" s="84" t="s">
        <v>75</v>
      </c>
      <c r="B179" s="65" t="s">
        <v>946</v>
      </c>
      <c r="C179" s="1135">
        <f t="shared" ref="C179:E179" si="40">+C180+C181+C182+C183+C184+C185+C186+C187+C188</f>
        <v>26671</v>
      </c>
      <c r="D179" s="1144">
        <f t="shared" si="40"/>
        <v>91948</v>
      </c>
      <c r="E179" s="1144">
        <f t="shared" si="40"/>
        <v>91948</v>
      </c>
      <c r="F179" s="1560">
        <f t="shared" si="35"/>
        <v>1</v>
      </c>
      <c r="G179" s="34">
        <f>+G180+G181+G182+G183+G184+G185+G186+G187+G188</f>
        <v>91948</v>
      </c>
      <c r="H179" s="10">
        <f>+H180+H181+H182+H183+H184+H185+H186+H187+H188</f>
        <v>0</v>
      </c>
      <c r="I179" s="35">
        <f>+I180+I181+I182+I183+I184+I185+I186+I187+I188</f>
        <v>0</v>
      </c>
      <c r="M179" s="4">
        <f t="shared" si="36"/>
        <v>0</v>
      </c>
    </row>
    <row r="180" spans="1:13" s="13" customFormat="1">
      <c r="A180" s="86" t="s">
        <v>205</v>
      </c>
      <c r="B180" s="66" t="s">
        <v>170</v>
      </c>
      <c r="C180" s="1136">
        <f>+'1.1.mell._ÖNK_Mérleg2019'!C180+'1.2.mell._HKÖH_Mérleg2019'!C180+'1.3.mell._HVÓBKI_Mérleg2019'!C180+'1.4.mell._HKK_Mérleg2019'!C180+'1.5._mell._MŐSZ_Mérleg2019'!C180+'1.6._mell._HVGYKCSSZ_Mérleg2019'!C180</f>
        <v>0</v>
      </c>
      <c r="D180" s="1145">
        <f>+'1.1.mell._ÖNK_Mérleg2019'!D180+'1.2.mell._HKÖH_Mérleg2019'!D180+'1.3.mell._HVÓBKI_Mérleg2019'!D180+'1.4.mell._HKK_Mérleg2019'!D180+'1.5._mell._MŐSZ_Mérleg2019'!D180+'1.6._mell._HVGYKCSSZ_Mérleg2019'!D180</f>
        <v>65277</v>
      </c>
      <c r="E180" s="1145">
        <f>+'1.1.mell._ÖNK_Mérleg2019'!E180+'1.2.mell._HKÖH_Mérleg2019'!E180+'1.3.mell._HVÓBKI_Mérleg2019'!E180+'1.4.mell._HKK_Mérleg2019'!E180+'1.5._mell._MŐSZ_Mérleg2019'!E180+'1.6._mell._HVGYKCSSZ_Mérleg2019'!E180</f>
        <v>65277</v>
      </c>
      <c r="F180" s="1562">
        <f t="shared" si="35"/>
        <v>1</v>
      </c>
      <c r="G180" s="19">
        <f>+'1.1.mell._ÖNK_Mérleg2019'!G180+'1.2.mell._HKÖH_Mérleg2019'!G180+'1.3.mell._HVÓBKI_Mérleg2019'!G180+'1.4.mell._HKK_Mérleg2019'!G180+'1.5._mell._MŐSZ_Mérleg2019'!G180+'1.6._mell._HVGYKCSSZ_Mérleg2019'!G180</f>
        <v>65277</v>
      </c>
      <c r="H180" s="12">
        <f>+'1.1.mell._ÖNK_Mérleg2019'!H180+'1.2.mell._HKÖH_Mérleg2019'!H180+'1.3.mell._HVÓBKI_Mérleg2019'!H180+'1.4.mell._HKK_Mérleg2019'!H180+'1.5._mell._MŐSZ_Mérleg2019'!H180+'1.6._mell._HVGYKCSSZ_Mérleg2019'!H180</f>
        <v>0</v>
      </c>
      <c r="I180" s="15">
        <f>+'1.1.mell._ÖNK_Mérleg2019'!I180+'1.2.mell._HKÖH_Mérleg2019'!I180+'1.3.mell._HVÓBKI_Mérleg2019'!I180+'1.4.mell._HKK_Mérleg2019'!I180+'1.5._mell._MŐSZ_Mérleg2019'!I180+'1.6._mell._HVGYKCSSZ_Mérleg2019'!I180</f>
        <v>0</v>
      </c>
      <c r="M180" s="13">
        <f t="shared" si="36"/>
        <v>0</v>
      </c>
    </row>
    <row r="181" spans="1:13" s="13" customFormat="1">
      <c r="A181" s="86" t="s">
        <v>206</v>
      </c>
      <c r="B181" s="66" t="s">
        <v>171</v>
      </c>
      <c r="C181" s="1136">
        <f>+'1.1.mell._ÖNK_Mérleg2019'!C181+'1.2.mell._HKÖH_Mérleg2019'!C181+'1.3.mell._HVÓBKI_Mérleg2019'!C181+'1.4.mell._HKK_Mérleg2019'!C181+'1.5._mell._MŐSZ_Mérleg2019'!C181+'1.6._mell._HVGYKCSSZ_Mérleg2019'!C181</f>
        <v>0</v>
      </c>
      <c r="D181" s="1145">
        <f>+'1.1.mell._ÖNK_Mérleg2019'!D181+'1.2.mell._HKÖH_Mérleg2019'!D181+'1.3.mell._HVÓBKI_Mérleg2019'!D181+'1.4.mell._HKK_Mérleg2019'!D181+'1.5._mell._MŐSZ_Mérleg2019'!D181+'1.6._mell._HVGYKCSSZ_Mérleg2019'!D181</f>
        <v>0</v>
      </c>
      <c r="E181" s="1145">
        <f>+'1.1.mell._ÖNK_Mérleg2019'!E181+'1.2.mell._HKÖH_Mérleg2019'!E181+'1.3.mell._HVÓBKI_Mérleg2019'!E181+'1.4.mell._HKK_Mérleg2019'!E181+'1.5._mell._MŐSZ_Mérleg2019'!E181+'1.6._mell._HVGYKCSSZ_Mérleg2019'!E181</f>
        <v>0</v>
      </c>
      <c r="F181" s="1562" t="str">
        <f t="shared" si="35"/>
        <v>-</v>
      </c>
      <c r="G181" s="19">
        <f>+'1.1.mell._ÖNK_Mérleg2019'!G181+'1.2.mell._HKÖH_Mérleg2019'!G181+'1.3.mell._HVÓBKI_Mérleg2019'!G181+'1.4.mell._HKK_Mérleg2019'!G181+'1.5._mell._MŐSZ_Mérleg2019'!G181+'1.6._mell._HVGYKCSSZ_Mérleg2019'!G181</f>
        <v>0</v>
      </c>
      <c r="H181" s="12">
        <f>+'1.1.mell._ÖNK_Mérleg2019'!H181+'1.2.mell._HKÖH_Mérleg2019'!H181+'1.3.mell._HVÓBKI_Mérleg2019'!H181+'1.4.mell._HKK_Mérleg2019'!H181+'1.5._mell._MŐSZ_Mérleg2019'!H181+'1.6._mell._HVGYKCSSZ_Mérleg2019'!H181</f>
        <v>0</v>
      </c>
      <c r="I181" s="15">
        <f>+'1.1.mell._ÖNK_Mérleg2019'!I181+'1.2.mell._HKÖH_Mérleg2019'!I181+'1.3.mell._HVÓBKI_Mérleg2019'!I181+'1.4.mell._HKK_Mérleg2019'!I181+'1.5._mell._MŐSZ_Mérleg2019'!I181+'1.6._mell._HVGYKCSSZ_Mérleg2019'!I181</f>
        <v>0</v>
      </c>
      <c r="M181" s="13">
        <f t="shared" si="36"/>
        <v>0</v>
      </c>
    </row>
    <row r="182" spans="1:13" s="13" customFormat="1">
      <c r="A182" s="86" t="s">
        <v>207</v>
      </c>
      <c r="B182" s="66" t="s">
        <v>172</v>
      </c>
      <c r="C182" s="1136">
        <f>+'1.1.mell._ÖNK_Mérleg2019'!C182+'1.2.mell._HKÖH_Mérleg2019'!C182+'1.3.mell._HVÓBKI_Mérleg2019'!C182+'1.4.mell._HKK_Mérleg2019'!C182+'1.5._mell._MŐSZ_Mérleg2019'!C182+'1.6._mell._HVGYKCSSZ_Mérleg2019'!C182</f>
        <v>0</v>
      </c>
      <c r="D182" s="1145">
        <f>+'1.1.mell._ÖNK_Mérleg2019'!D182+'1.2.mell._HKÖH_Mérleg2019'!D182+'1.3.mell._HVÓBKI_Mérleg2019'!D182+'1.4.mell._HKK_Mérleg2019'!D182+'1.5._mell._MŐSZ_Mérleg2019'!D182+'1.6._mell._HVGYKCSSZ_Mérleg2019'!D182</f>
        <v>0</v>
      </c>
      <c r="E182" s="1145">
        <f>+'1.1.mell._ÖNK_Mérleg2019'!E182+'1.2.mell._HKÖH_Mérleg2019'!E182+'1.3.mell._HVÓBKI_Mérleg2019'!E182+'1.4.mell._HKK_Mérleg2019'!E182+'1.5._mell._MŐSZ_Mérleg2019'!E182+'1.6._mell._HVGYKCSSZ_Mérleg2019'!E182</f>
        <v>0</v>
      </c>
      <c r="F182" s="1562" t="str">
        <f t="shared" si="35"/>
        <v>-</v>
      </c>
      <c r="G182" s="19">
        <f>+'1.1.mell._ÖNK_Mérleg2019'!G182+'1.2.mell._HKÖH_Mérleg2019'!G182+'1.3.mell._HVÓBKI_Mérleg2019'!G182+'1.4.mell._HKK_Mérleg2019'!G182+'1.5._mell._MŐSZ_Mérleg2019'!G182+'1.6._mell._HVGYKCSSZ_Mérleg2019'!G182</f>
        <v>0</v>
      </c>
      <c r="H182" s="12">
        <f>+'1.1.mell._ÖNK_Mérleg2019'!H182+'1.2.mell._HKÖH_Mérleg2019'!H182+'1.3.mell._HVÓBKI_Mérleg2019'!H182+'1.4.mell._HKK_Mérleg2019'!H182+'1.5._mell._MŐSZ_Mérleg2019'!H182+'1.6._mell._HVGYKCSSZ_Mérleg2019'!H182</f>
        <v>0</v>
      </c>
      <c r="I182" s="15">
        <f>+'1.1.mell._ÖNK_Mérleg2019'!I182+'1.2.mell._HKÖH_Mérleg2019'!I182+'1.3.mell._HVÓBKI_Mérleg2019'!I182+'1.4.mell._HKK_Mérleg2019'!I182+'1.5._mell._MŐSZ_Mérleg2019'!I182+'1.6._mell._HVGYKCSSZ_Mérleg2019'!I182</f>
        <v>0</v>
      </c>
      <c r="M182" s="13">
        <f t="shared" si="36"/>
        <v>0</v>
      </c>
    </row>
    <row r="183" spans="1:13" s="13" customFormat="1">
      <c r="A183" s="86" t="s">
        <v>208</v>
      </c>
      <c r="B183" s="66" t="s">
        <v>173</v>
      </c>
      <c r="C183" s="1136">
        <f>+'1.1.mell._ÖNK_Mérleg2019'!C183+'1.2.mell._HKÖH_Mérleg2019'!C183+'1.3.mell._HVÓBKI_Mérleg2019'!C183+'1.4.mell._HKK_Mérleg2019'!C183+'1.5._mell._MŐSZ_Mérleg2019'!C183+'1.6._mell._HVGYKCSSZ_Mérleg2019'!C183</f>
        <v>26671</v>
      </c>
      <c r="D183" s="1145">
        <f>+'1.1.mell._ÖNK_Mérleg2019'!D183+'1.2.mell._HKÖH_Mérleg2019'!D183+'1.3.mell._HVÓBKI_Mérleg2019'!D183+'1.4.mell._HKK_Mérleg2019'!D183+'1.5._mell._MŐSZ_Mérleg2019'!D183+'1.6._mell._HVGYKCSSZ_Mérleg2019'!D183</f>
        <v>26671</v>
      </c>
      <c r="E183" s="1145">
        <f>+'1.1.mell._ÖNK_Mérleg2019'!E183+'1.2.mell._HKÖH_Mérleg2019'!E183+'1.3.mell._HVÓBKI_Mérleg2019'!E183+'1.4.mell._HKK_Mérleg2019'!E183+'1.5._mell._MŐSZ_Mérleg2019'!E183+'1.6._mell._HVGYKCSSZ_Mérleg2019'!E183</f>
        <v>26671</v>
      </c>
      <c r="F183" s="1562">
        <f t="shared" si="35"/>
        <v>1</v>
      </c>
      <c r="G183" s="19">
        <f>+'1.1.mell._ÖNK_Mérleg2019'!G183+'1.2.mell._HKÖH_Mérleg2019'!G183+'1.3.mell._HVÓBKI_Mérleg2019'!G183+'1.4.mell._HKK_Mérleg2019'!G183+'1.5._mell._MŐSZ_Mérleg2019'!G183+'1.6._mell._HVGYKCSSZ_Mérleg2019'!G183</f>
        <v>26671</v>
      </c>
      <c r="H183" s="12">
        <f>+'1.1.mell._ÖNK_Mérleg2019'!H183+'1.2.mell._HKÖH_Mérleg2019'!H183+'1.3.mell._HVÓBKI_Mérleg2019'!H183+'1.4.mell._HKK_Mérleg2019'!H183+'1.5._mell._MŐSZ_Mérleg2019'!H183+'1.6._mell._HVGYKCSSZ_Mérleg2019'!H183</f>
        <v>0</v>
      </c>
      <c r="I183" s="15">
        <f>+'1.1.mell._ÖNK_Mérleg2019'!I183+'1.2.mell._HKÖH_Mérleg2019'!I183+'1.3.mell._HVÓBKI_Mérleg2019'!I183+'1.4.mell._HKK_Mérleg2019'!I183+'1.5._mell._MŐSZ_Mérleg2019'!I183+'1.6._mell._HVGYKCSSZ_Mérleg2019'!I183</f>
        <v>0</v>
      </c>
      <c r="M183" s="13">
        <f t="shared" si="36"/>
        <v>0</v>
      </c>
    </row>
    <row r="184" spans="1:13" s="13" customFormat="1">
      <c r="A184" s="103" t="s">
        <v>209</v>
      </c>
      <c r="B184" s="104" t="s">
        <v>174</v>
      </c>
      <c r="C184" s="1140"/>
      <c r="D184" s="1149"/>
      <c r="E184" s="1149"/>
      <c r="F184" s="1563" t="str">
        <f t="shared" si="35"/>
        <v>-</v>
      </c>
      <c r="G184" s="105"/>
      <c r="H184" s="106"/>
      <c r="I184" s="107"/>
      <c r="M184" s="117">
        <f t="shared" si="36"/>
        <v>0</v>
      </c>
    </row>
    <row r="185" spans="1:13" s="13" customFormat="1">
      <c r="A185" s="86" t="s">
        <v>210</v>
      </c>
      <c r="B185" s="66" t="s">
        <v>179</v>
      </c>
      <c r="C185" s="1136">
        <f>+'1.1.mell._ÖNK_Mérleg2019'!C185+'1.2.mell._HKÖH_Mérleg2019'!C185+'1.3.mell._HVÓBKI_Mérleg2019'!C185+'1.4.mell._HKK_Mérleg2019'!C185+'1.5._mell._MŐSZ_Mérleg2019'!C185+'1.6._mell._HVGYKCSSZ_Mérleg2019'!C185</f>
        <v>0</v>
      </c>
      <c r="D185" s="1145">
        <f>+'1.1.mell._ÖNK_Mérleg2019'!D185+'1.2.mell._HKÖH_Mérleg2019'!D185+'1.3.mell._HVÓBKI_Mérleg2019'!D185+'1.4.mell._HKK_Mérleg2019'!D185+'1.5._mell._MŐSZ_Mérleg2019'!D185+'1.6._mell._HVGYKCSSZ_Mérleg2019'!D185</f>
        <v>0</v>
      </c>
      <c r="E185" s="1145">
        <f>+'1.1.mell._ÖNK_Mérleg2019'!E185+'1.2.mell._HKÖH_Mérleg2019'!E185+'1.3.mell._HVÓBKI_Mérleg2019'!E185+'1.4.mell._HKK_Mérleg2019'!E185+'1.5._mell._MŐSZ_Mérleg2019'!E185+'1.6._mell._HVGYKCSSZ_Mérleg2019'!E185</f>
        <v>0</v>
      </c>
      <c r="F185" s="1562" t="str">
        <f t="shared" si="35"/>
        <v>-</v>
      </c>
      <c r="G185" s="19">
        <f>+'1.1.mell._ÖNK_Mérleg2019'!G185+'1.2.mell._HKÖH_Mérleg2019'!G185+'1.3.mell._HVÓBKI_Mérleg2019'!G185+'1.4.mell._HKK_Mérleg2019'!G185+'1.5._mell._MŐSZ_Mérleg2019'!G185+'1.6._mell._HVGYKCSSZ_Mérleg2019'!G185</f>
        <v>0</v>
      </c>
      <c r="H185" s="12">
        <f>+'1.1.mell._ÖNK_Mérleg2019'!H185+'1.2.mell._HKÖH_Mérleg2019'!H185+'1.3.mell._HVÓBKI_Mérleg2019'!H185+'1.4.mell._HKK_Mérleg2019'!H185+'1.5._mell._MŐSZ_Mérleg2019'!H185+'1.6._mell._HVGYKCSSZ_Mérleg2019'!H185</f>
        <v>0</v>
      </c>
      <c r="I185" s="15">
        <f>+'1.1.mell._ÖNK_Mérleg2019'!I185+'1.2.mell._HKÖH_Mérleg2019'!I185+'1.3.mell._HVÓBKI_Mérleg2019'!I185+'1.4.mell._HKK_Mérleg2019'!I185+'1.5._mell._MŐSZ_Mérleg2019'!I185+'1.6._mell._HVGYKCSSZ_Mérleg2019'!I185</f>
        <v>0</v>
      </c>
      <c r="M185" s="13">
        <f t="shared" si="36"/>
        <v>0</v>
      </c>
    </row>
    <row r="186" spans="1:13" s="13" customFormat="1">
      <c r="A186" s="86" t="s">
        <v>211</v>
      </c>
      <c r="B186" s="66" t="s">
        <v>175</v>
      </c>
      <c r="C186" s="1136">
        <f>+'1.1.mell._ÖNK_Mérleg2019'!C186+'1.2.mell._HKÖH_Mérleg2019'!C186+'1.3.mell._HVÓBKI_Mérleg2019'!C186+'1.4.mell._HKK_Mérleg2019'!C186+'1.5._mell._MŐSZ_Mérleg2019'!C186+'1.6._mell._HVGYKCSSZ_Mérleg2019'!C186</f>
        <v>0</v>
      </c>
      <c r="D186" s="1145">
        <f>+'1.1.mell._ÖNK_Mérleg2019'!D186+'1.2.mell._HKÖH_Mérleg2019'!D186+'1.3.mell._HVÓBKI_Mérleg2019'!D186+'1.4.mell._HKK_Mérleg2019'!D186+'1.5._mell._MŐSZ_Mérleg2019'!D186+'1.6._mell._HVGYKCSSZ_Mérleg2019'!D186</f>
        <v>0</v>
      </c>
      <c r="E186" s="1145">
        <f>+'1.1.mell._ÖNK_Mérleg2019'!E186+'1.2.mell._HKÖH_Mérleg2019'!E186+'1.3.mell._HVÓBKI_Mérleg2019'!E186+'1.4.mell._HKK_Mérleg2019'!E186+'1.5._mell._MŐSZ_Mérleg2019'!E186+'1.6._mell._HVGYKCSSZ_Mérleg2019'!E186</f>
        <v>0</v>
      </c>
      <c r="F186" s="1562" t="str">
        <f t="shared" si="35"/>
        <v>-</v>
      </c>
      <c r="G186" s="19">
        <f>+'1.1.mell._ÖNK_Mérleg2019'!G186+'1.2.mell._HKÖH_Mérleg2019'!G186+'1.3.mell._HVÓBKI_Mérleg2019'!G186+'1.4.mell._HKK_Mérleg2019'!G186+'1.5._mell._MŐSZ_Mérleg2019'!G186+'1.6._mell._HVGYKCSSZ_Mérleg2019'!G186</f>
        <v>0</v>
      </c>
      <c r="H186" s="12">
        <f>+'1.1.mell._ÖNK_Mérleg2019'!H186+'1.2.mell._HKÖH_Mérleg2019'!H186+'1.3.mell._HVÓBKI_Mérleg2019'!H186+'1.4.mell._HKK_Mérleg2019'!H186+'1.5._mell._MŐSZ_Mérleg2019'!H186+'1.6._mell._HVGYKCSSZ_Mérleg2019'!H186</f>
        <v>0</v>
      </c>
      <c r="I186" s="15">
        <f>+'1.1.mell._ÖNK_Mérleg2019'!I186+'1.2.mell._HKÖH_Mérleg2019'!I186+'1.3.mell._HVÓBKI_Mérleg2019'!I186+'1.4.mell._HKK_Mérleg2019'!I186+'1.5._mell._MŐSZ_Mérleg2019'!I186+'1.6._mell._HVGYKCSSZ_Mérleg2019'!I186</f>
        <v>0</v>
      </c>
      <c r="M186" s="13">
        <f t="shared" si="36"/>
        <v>0</v>
      </c>
    </row>
    <row r="187" spans="1:13" s="13" customFormat="1">
      <c r="A187" s="86" t="s">
        <v>212</v>
      </c>
      <c r="B187" s="66" t="s">
        <v>176</v>
      </c>
      <c r="C187" s="1136">
        <f>+'1.1.mell._ÖNK_Mérleg2019'!C187+'1.2.mell._HKÖH_Mérleg2019'!C187+'1.3.mell._HVÓBKI_Mérleg2019'!C187+'1.4.mell._HKK_Mérleg2019'!C187+'1.5._mell._MŐSZ_Mérleg2019'!C187+'1.6._mell._HVGYKCSSZ_Mérleg2019'!C187</f>
        <v>0</v>
      </c>
      <c r="D187" s="1145">
        <f>+'1.1.mell._ÖNK_Mérleg2019'!D187+'1.2.mell._HKÖH_Mérleg2019'!D187+'1.3.mell._HVÓBKI_Mérleg2019'!D187+'1.4.mell._HKK_Mérleg2019'!D187+'1.5._mell._MŐSZ_Mérleg2019'!D187+'1.6._mell._HVGYKCSSZ_Mérleg2019'!D187</f>
        <v>0</v>
      </c>
      <c r="E187" s="1145">
        <f>+'1.1.mell._ÖNK_Mérleg2019'!E187+'1.2.mell._HKÖH_Mérleg2019'!E187+'1.3.mell._HVÓBKI_Mérleg2019'!E187+'1.4.mell._HKK_Mérleg2019'!E187+'1.5._mell._MŐSZ_Mérleg2019'!E187+'1.6._mell._HVGYKCSSZ_Mérleg2019'!E187</f>
        <v>0</v>
      </c>
      <c r="F187" s="1562" t="str">
        <f t="shared" si="35"/>
        <v>-</v>
      </c>
      <c r="G187" s="19">
        <f>+'1.1.mell._ÖNK_Mérleg2019'!G187+'1.2.mell._HKÖH_Mérleg2019'!G187+'1.3.mell._HVÓBKI_Mérleg2019'!G187+'1.4.mell._HKK_Mérleg2019'!G187+'1.5._mell._MŐSZ_Mérleg2019'!G187+'1.6._mell._HVGYKCSSZ_Mérleg2019'!G187</f>
        <v>0</v>
      </c>
      <c r="H187" s="12">
        <f>+'1.1.mell._ÖNK_Mérleg2019'!H187+'1.2.mell._HKÖH_Mérleg2019'!H187+'1.3.mell._HVÓBKI_Mérleg2019'!H187+'1.4.mell._HKK_Mérleg2019'!H187+'1.5._mell._MŐSZ_Mérleg2019'!H187+'1.6._mell._HVGYKCSSZ_Mérleg2019'!H187</f>
        <v>0</v>
      </c>
      <c r="I187" s="15">
        <f>+'1.1.mell._ÖNK_Mérleg2019'!I187+'1.2.mell._HKÖH_Mérleg2019'!I187+'1.3.mell._HVÓBKI_Mérleg2019'!I187+'1.4.mell._HKK_Mérleg2019'!I187+'1.5._mell._MŐSZ_Mérleg2019'!I187+'1.6._mell._HVGYKCSSZ_Mérleg2019'!I187</f>
        <v>0</v>
      </c>
      <c r="M187" s="13">
        <f t="shared" si="36"/>
        <v>0</v>
      </c>
    </row>
    <row r="188" spans="1:13" s="13" customFormat="1">
      <c r="A188" s="86" t="s">
        <v>939</v>
      </c>
      <c r="B188" s="66" t="s">
        <v>941</v>
      </c>
      <c r="C188" s="1136">
        <f>+'1.1.mell._ÖNK_Mérleg2019'!C188+'1.2.mell._HKÖH_Mérleg2019'!C188+'1.3.mell._HVÓBKI_Mérleg2019'!C188+'1.4.mell._HKK_Mérleg2019'!C188+'1.5._mell._MŐSZ_Mérleg2019'!C188+'1.6._mell._HVGYKCSSZ_Mérleg2019'!C188</f>
        <v>0</v>
      </c>
      <c r="D188" s="1145">
        <f>+'1.1.mell._ÖNK_Mérleg2019'!D188+'1.2.mell._HKÖH_Mérleg2019'!D188+'1.3.mell._HVÓBKI_Mérleg2019'!D188+'1.4.mell._HKK_Mérleg2019'!D188+'1.5._mell._MŐSZ_Mérleg2019'!D188+'1.6._mell._HVGYKCSSZ_Mérleg2019'!D188</f>
        <v>0</v>
      </c>
      <c r="E188" s="1145">
        <f>+'1.1.mell._ÖNK_Mérleg2019'!E188+'1.2.mell._HKÖH_Mérleg2019'!E188+'1.3.mell._HVÓBKI_Mérleg2019'!E188+'1.4.mell._HKK_Mérleg2019'!E188+'1.5._mell._MŐSZ_Mérleg2019'!E188+'1.6._mell._HVGYKCSSZ_Mérleg2019'!E188</f>
        <v>0</v>
      </c>
      <c r="F188" s="1562" t="str">
        <f t="shared" si="35"/>
        <v>-</v>
      </c>
      <c r="G188" s="19">
        <f>+'1.1.mell._ÖNK_Mérleg2019'!G188+'1.2.mell._HKÖH_Mérleg2019'!G188+'1.3.mell._HVÓBKI_Mérleg2019'!G188+'1.4.mell._HKK_Mérleg2019'!G188+'1.5._mell._MŐSZ_Mérleg2019'!G188+'1.6._mell._HVGYKCSSZ_Mérleg2019'!G188</f>
        <v>0</v>
      </c>
      <c r="H188" s="12">
        <f>+'1.1.mell._ÖNK_Mérleg2019'!H188+'1.2.mell._HKÖH_Mérleg2019'!H188+'1.3.mell._HVÓBKI_Mérleg2019'!H188+'1.4.mell._HKK_Mérleg2019'!H188+'1.5._mell._MŐSZ_Mérleg2019'!H188+'1.6._mell._HVGYKCSSZ_Mérleg2019'!H188</f>
        <v>0</v>
      </c>
      <c r="I188" s="15">
        <f>+'1.1.mell._ÖNK_Mérleg2019'!I188+'1.2.mell._HKÖH_Mérleg2019'!I188+'1.3.mell._HVÓBKI_Mérleg2019'!I188+'1.4.mell._HKK_Mérleg2019'!I188+'1.5._mell._MŐSZ_Mérleg2019'!I188+'1.6._mell._HVGYKCSSZ_Mérleg2019'!I188</f>
        <v>0</v>
      </c>
      <c r="M188" s="13">
        <f t="shared" si="36"/>
        <v>0</v>
      </c>
    </row>
    <row r="189" spans="1:13">
      <c r="A189" s="85" t="s">
        <v>76</v>
      </c>
      <c r="B189" s="67" t="s">
        <v>177</v>
      </c>
      <c r="C189" s="1137">
        <f>+'1.1.mell._ÖNK_Mérleg2019'!C189+'1.2.mell._HKÖH_Mérleg2019'!C189+'1.3.mell._HVÓBKI_Mérleg2019'!C189+'1.4.mell._HKK_Mérleg2019'!C189+'1.5._mell._MŐSZ_Mérleg2019'!C189+'1.6._mell._HVGYKCSSZ_Mérleg2019'!C189</f>
        <v>0</v>
      </c>
      <c r="D189" s="1146">
        <f>+'1.1.mell._ÖNK_Mérleg2019'!D189+'1.2.mell._HKÖH_Mérleg2019'!D189+'1.3.mell._HVÓBKI_Mérleg2019'!D189+'1.4.mell._HKK_Mérleg2019'!D189+'1.5._mell._MŐSZ_Mérleg2019'!D189+'1.6._mell._HVGYKCSSZ_Mérleg2019'!D189</f>
        <v>0</v>
      </c>
      <c r="E189" s="1146">
        <f>+'1.1.mell._ÖNK_Mérleg2019'!E189+'1.2.mell._HKÖH_Mérleg2019'!E189+'1.3.mell._HVÓBKI_Mérleg2019'!E189+'1.4.mell._HKK_Mérleg2019'!E189+'1.5._mell._MŐSZ_Mérleg2019'!E189+'1.6._mell._HVGYKCSSZ_Mérleg2019'!E189</f>
        <v>0</v>
      </c>
      <c r="F189" s="1562" t="str">
        <f t="shared" si="35"/>
        <v>-</v>
      </c>
      <c r="G189" s="20">
        <f>+'1.1.mell._ÖNK_Mérleg2019'!G189+'1.2.mell._HKÖH_Mérleg2019'!G189+'1.3.mell._HVÓBKI_Mérleg2019'!G189+'1.4.mell._HKK_Mérleg2019'!G189+'1.5._mell._MŐSZ_Mérleg2019'!G189+'1.6._mell._HVGYKCSSZ_Mérleg2019'!G189</f>
        <v>0</v>
      </c>
      <c r="H189" s="11">
        <f>+'1.1.mell._ÖNK_Mérleg2019'!H189+'1.2.mell._HKÖH_Mérleg2019'!H189+'1.3.mell._HVÓBKI_Mérleg2019'!H189+'1.4.mell._HKK_Mérleg2019'!H189+'1.5._mell._MŐSZ_Mérleg2019'!H189+'1.6._mell._HVGYKCSSZ_Mérleg2019'!H189</f>
        <v>0</v>
      </c>
      <c r="I189" s="16">
        <f>+'1.1.mell._ÖNK_Mérleg2019'!I189+'1.2.mell._HKÖH_Mérleg2019'!I189+'1.3.mell._HVÓBKI_Mérleg2019'!I189+'1.4.mell._HKK_Mérleg2019'!I189+'1.5._mell._MŐSZ_Mérleg2019'!I189+'1.6._mell._HVGYKCSSZ_Mérleg2019'!I189</f>
        <v>0</v>
      </c>
      <c r="M189" s="4">
        <f t="shared" si="36"/>
        <v>0</v>
      </c>
    </row>
    <row r="190" spans="1:13">
      <c r="A190" s="78" t="s">
        <v>77</v>
      </c>
      <c r="B190" s="68" t="s">
        <v>178</v>
      </c>
      <c r="C190" s="1138">
        <f>+'1.1.mell._ÖNK_Mérleg2019'!C190+'1.2.mell._HKÖH_Mérleg2019'!C190+'1.3.mell._HVÓBKI_Mérleg2019'!C190+'1.4.mell._HKK_Mérleg2019'!C190+'1.5._mell._MŐSZ_Mérleg2019'!C190+'1.6._mell._HVGYKCSSZ_Mérleg2019'!C190</f>
        <v>0</v>
      </c>
      <c r="D190" s="1147">
        <f>+'1.1.mell._ÖNK_Mérleg2019'!D190+'1.2.mell._HKÖH_Mérleg2019'!D190+'1.3.mell._HVÓBKI_Mérleg2019'!D190+'1.4.mell._HKK_Mérleg2019'!D190+'1.5._mell._MŐSZ_Mérleg2019'!D190+'1.6._mell._HVGYKCSSZ_Mérleg2019'!D190</f>
        <v>0</v>
      </c>
      <c r="E190" s="1147">
        <f>+'1.1.mell._ÖNK_Mérleg2019'!E190+'1.2.mell._HKÖH_Mérleg2019'!E190+'1.3.mell._HVÓBKI_Mérleg2019'!E190+'1.4.mell._HKK_Mérleg2019'!E190+'1.5._mell._MŐSZ_Mérleg2019'!E190+'1.6._mell._HVGYKCSSZ_Mérleg2019'!E190</f>
        <v>0</v>
      </c>
      <c r="F190" s="1561" t="str">
        <f t="shared" si="35"/>
        <v>-</v>
      </c>
      <c r="G190" s="21">
        <f>+'1.1.mell._ÖNK_Mérleg2019'!G190+'1.2.mell._HKÖH_Mérleg2019'!G190+'1.3.mell._HVÓBKI_Mérleg2019'!G190+'1.4.mell._HKK_Mérleg2019'!G190+'1.5._mell._MŐSZ_Mérleg2019'!G190+'1.6._mell._HVGYKCSSZ_Mérleg2019'!G190</f>
        <v>0</v>
      </c>
      <c r="H190" s="22">
        <f>+'1.1.mell._ÖNK_Mérleg2019'!H190+'1.2.mell._HKÖH_Mérleg2019'!H190+'1.3.mell._HVÓBKI_Mérleg2019'!H190+'1.4.mell._HKK_Mérleg2019'!H190+'1.5._mell._MŐSZ_Mérleg2019'!H190+'1.6._mell._HVGYKCSSZ_Mérleg2019'!H190</f>
        <v>0</v>
      </c>
      <c r="I190" s="23">
        <f>+'1.1.mell._ÖNK_Mérleg2019'!I190+'1.2.mell._HKÖH_Mérleg2019'!I190+'1.3.mell._HVÓBKI_Mérleg2019'!I190+'1.4.mell._HKK_Mérleg2019'!I190+'1.5._mell._MŐSZ_Mérleg2019'!I190+'1.6._mell._HVGYKCSSZ_Mérleg2019'!I190</f>
        <v>0</v>
      </c>
      <c r="M190" s="4">
        <f t="shared" si="36"/>
        <v>0</v>
      </c>
    </row>
    <row r="191" spans="1:13" ht="12.75" thickBot="1">
      <c r="A191" s="78" t="s">
        <v>944</v>
      </c>
      <c r="B191" s="68" t="s">
        <v>942</v>
      </c>
      <c r="C191" s="1138">
        <f>+'1.1.mell._ÖNK_Mérleg2019'!C191+'1.2.mell._HKÖH_Mérleg2019'!C191+'1.3.mell._HVÓBKI_Mérleg2019'!C191+'1.4.mell._HKK_Mérleg2019'!C191+'1.5._mell._MŐSZ_Mérleg2019'!C191+'1.6._mell._HVGYKCSSZ_Mérleg2019'!C191</f>
        <v>0</v>
      </c>
      <c r="D191" s="1147">
        <f>+'1.1.mell._ÖNK_Mérleg2019'!D191+'1.2.mell._HKÖH_Mérleg2019'!D191+'1.3.mell._HVÓBKI_Mérleg2019'!D191+'1.4.mell._HKK_Mérleg2019'!D191+'1.5._mell._MŐSZ_Mérleg2019'!D191+'1.6._mell._HVGYKCSSZ_Mérleg2019'!D191</f>
        <v>0</v>
      </c>
      <c r="E191" s="1147">
        <f>+'1.1.mell._ÖNK_Mérleg2019'!E191+'1.2.mell._HKÖH_Mérleg2019'!E191+'1.3.mell._HVÓBKI_Mérleg2019'!E191+'1.4.mell._HKK_Mérleg2019'!E191+'1.5._mell._MŐSZ_Mérleg2019'!E191+'1.6._mell._HVGYKCSSZ_Mérleg2019'!E191</f>
        <v>0</v>
      </c>
      <c r="F191" s="1561" t="str">
        <f t="shared" si="35"/>
        <v>-</v>
      </c>
      <c r="G191" s="21">
        <f>+'1.1.mell._ÖNK_Mérleg2019'!G191+'1.2.mell._HKÖH_Mérleg2019'!G191+'1.3.mell._HVÓBKI_Mérleg2019'!G191+'1.4.mell._HKK_Mérleg2019'!G191+'1.5._mell._MŐSZ_Mérleg2019'!G191+'1.6._mell._HVGYKCSSZ_Mérleg2019'!G191</f>
        <v>0</v>
      </c>
      <c r="H191" s="22">
        <f>+'1.1.mell._ÖNK_Mérleg2019'!H191+'1.2.mell._HKÖH_Mérleg2019'!H191+'1.3.mell._HVÓBKI_Mérleg2019'!H191+'1.4.mell._HKK_Mérleg2019'!H191+'1.5._mell._MŐSZ_Mérleg2019'!H191+'1.6._mell._HVGYKCSSZ_Mérleg2019'!H191</f>
        <v>0</v>
      </c>
      <c r="I191" s="23">
        <f>+'1.1.mell._ÖNK_Mérleg2019'!I191+'1.2.mell._HKÖH_Mérleg2019'!I191+'1.3.mell._HVÓBKI_Mérleg2019'!I191+'1.4.mell._HKK_Mérleg2019'!I191+'1.5._mell._MŐSZ_Mérleg2019'!I191+'1.6._mell._HVGYKCSSZ_Mérleg2019'!I191</f>
        <v>0</v>
      </c>
      <c r="M191" s="4">
        <f t="shared" si="36"/>
        <v>0</v>
      </c>
    </row>
    <row r="192" spans="1:13" s="3" customFormat="1" ht="12.75" thickBot="1">
      <c r="A192" s="83" t="s">
        <v>44</v>
      </c>
      <c r="B192" s="69" t="s">
        <v>316</v>
      </c>
      <c r="C192" s="1134">
        <f t="shared" ref="C192:E192" si="41">+C193</f>
        <v>0</v>
      </c>
      <c r="D192" s="1143">
        <f t="shared" si="41"/>
        <v>0</v>
      </c>
      <c r="E192" s="1143">
        <f t="shared" si="41"/>
        <v>0</v>
      </c>
      <c r="F192" s="1558" t="str">
        <f t="shared" si="35"/>
        <v>-</v>
      </c>
      <c r="G192" s="27">
        <f>+G193</f>
        <v>0</v>
      </c>
      <c r="H192" s="28">
        <f>+H193</f>
        <v>0</v>
      </c>
      <c r="I192" s="29">
        <f>+I193</f>
        <v>0</v>
      </c>
      <c r="J192" s="628">
        <f>+C192/$C$208</f>
        <v>0</v>
      </c>
      <c r="K192" s="628">
        <f>+D192/$D$208</f>
        <v>0</v>
      </c>
      <c r="L192" s="628">
        <f>+E192/$E$208</f>
        <v>0</v>
      </c>
      <c r="M192" s="3">
        <f t="shared" si="36"/>
        <v>0</v>
      </c>
    </row>
    <row r="193" spans="1:13" s="3" customFormat="1" ht="12.75" thickBot="1">
      <c r="A193" s="83" t="s">
        <v>43</v>
      </c>
      <c r="B193" s="64" t="s">
        <v>940</v>
      </c>
      <c r="C193" s="1134">
        <f t="shared" ref="C193:E193" si="42">+C194+C204+C205+C206</f>
        <v>0</v>
      </c>
      <c r="D193" s="1143">
        <f t="shared" si="42"/>
        <v>0</v>
      </c>
      <c r="E193" s="1143">
        <f t="shared" si="42"/>
        <v>0</v>
      </c>
      <c r="F193" s="1558" t="str">
        <f t="shared" si="35"/>
        <v>-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J193" s="628">
        <f>+C193/$C$208</f>
        <v>0</v>
      </c>
      <c r="K193" s="628">
        <f>+D193/$D$208</f>
        <v>0</v>
      </c>
      <c r="L193" s="628">
        <f>+E193/$E$208</f>
        <v>0</v>
      </c>
      <c r="M193" s="3">
        <f t="shared" si="36"/>
        <v>0</v>
      </c>
    </row>
    <row r="194" spans="1:13">
      <c r="A194" s="84" t="s">
        <v>78</v>
      </c>
      <c r="B194" s="65" t="s">
        <v>978</v>
      </c>
      <c r="C194" s="1135">
        <f t="shared" ref="C194:E194" si="43">+C195+C196+C197+C198+C199+C200+C201+C202+C203</f>
        <v>0</v>
      </c>
      <c r="D194" s="1144">
        <f t="shared" si="43"/>
        <v>0</v>
      </c>
      <c r="E194" s="1144">
        <f t="shared" si="43"/>
        <v>0</v>
      </c>
      <c r="F194" s="1560" t="str">
        <f t="shared" si="35"/>
        <v>-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M194" s="4">
        <f t="shared" si="36"/>
        <v>0</v>
      </c>
    </row>
    <row r="195" spans="1:13" s="13" customFormat="1">
      <c r="A195" s="86" t="s">
        <v>213</v>
      </c>
      <c r="B195" s="66" t="s">
        <v>170</v>
      </c>
      <c r="C195" s="1136">
        <f>+'1.1.mell._ÖNK_Mérleg2019'!C195+'1.2.mell._HKÖH_Mérleg2019'!C195+'1.3.mell._HVÓBKI_Mérleg2019'!C195+'1.4.mell._HKK_Mérleg2019'!C195+'1.5._mell._MŐSZ_Mérleg2019'!C195+'1.6._mell._HVGYKCSSZ_Mérleg2019'!C195</f>
        <v>0</v>
      </c>
      <c r="D195" s="1145">
        <f>+'1.1.mell._ÖNK_Mérleg2019'!D195+'1.2.mell._HKÖH_Mérleg2019'!D195+'1.3.mell._HVÓBKI_Mérleg2019'!D195+'1.4.mell._HKK_Mérleg2019'!D195+'1.5._mell._MŐSZ_Mérleg2019'!D195+'1.6._mell._HVGYKCSSZ_Mérleg2019'!D195</f>
        <v>0</v>
      </c>
      <c r="E195" s="1145">
        <f>+'1.1.mell._ÖNK_Mérleg2019'!E195+'1.2.mell._HKÖH_Mérleg2019'!E195+'1.3.mell._HVÓBKI_Mérleg2019'!E195+'1.4.mell._HKK_Mérleg2019'!E195+'1.5._mell._MŐSZ_Mérleg2019'!E195+'1.6._mell._HVGYKCSSZ_Mérleg2019'!E195</f>
        <v>0</v>
      </c>
      <c r="F195" s="1562" t="str">
        <f t="shared" si="35"/>
        <v>-</v>
      </c>
      <c r="G195" s="19">
        <f>+'1.1.mell._ÖNK_Mérleg2019'!G195+'1.2.mell._HKÖH_Mérleg2019'!G195+'1.3.mell._HVÓBKI_Mérleg2019'!G195+'1.4.mell._HKK_Mérleg2019'!G195+'1.5._mell._MŐSZ_Mérleg2019'!G195+'1.6._mell._HVGYKCSSZ_Mérleg2019'!G195</f>
        <v>0</v>
      </c>
      <c r="H195" s="12">
        <f>+'1.1.mell._ÖNK_Mérleg2019'!H195+'1.2.mell._HKÖH_Mérleg2019'!H195+'1.3.mell._HVÓBKI_Mérleg2019'!H195+'1.4.mell._HKK_Mérleg2019'!H195+'1.5._mell._MŐSZ_Mérleg2019'!H195+'1.6._mell._HVGYKCSSZ_Mérleg2019'!H195</f>
        <v>0</v>
      </c>
      <c r="I195" s="15">
        <f>+'1.1.mell._ÖNK_Mérleg2019'!I195+'1.2.mell._HKÖH_Mérleg2019'!I195+'1.3.mell._HVÓBKI_Mérleg2019'!I195+'1.4.mell._HKK_Mérleg2019'!I195+'1.5._mell._MŐSZ_Mérleg2019'!I195+'1.6._mell._HVGYKCSSZ_Mérleg2019'!I195</f>
        <v>0</v>
      </c>
      <c r="M195" s="13">
        <f t="shared" si="36"/>
        <v>0</v>
      </c>
    </row>
    <row r="196" spans="1:13" s="13" customFormat="1">
      <c r="A196" s="86" t="s">
        <v>214</v>
      </c>
      <c r="B196" s="66" t="s">
        <v>171</v>
      </c>
      <c r="C196" s="1136">
        <f>+'1.1.mell._ÖNK_Mérleg2019'!C196+'1.2.mell._HKÖH_Mérleg2019'!C196+'1.3.mell._HVÓBKI_Mérleg2019'!C196+'1.4.mell._HKK_Mérleg2019'!C196+'1.5._mell._MŐSZ_Mérleg2019'!C196+'1.6._mell._HVGYKCSSZ_Mérleg2019'!C196</f>
        <v>0</v>
      </c>
      <c r="D196" s="1145">
        <f>+'1.1.mell._ÖNK_Mérleg2019'!D196+'1.2.mell._HKÖH_Mérleg2019'!D196+'1.3.mell._HVÓBKI_Mérleg2019'!D196+'1.4.mell._HKK_Mérleg2019'!D196+'1.5._mell._MŐSZ_Mérleg2019'!D196+'1.6._mell._HVGYKCSSZ_Mérleg2019'!D196</f>
        <v>0</v>
      </c>
      <c r="E196" s="1145">
        <f>+'1.1.mell._ÖNK_Mérleg2019'!E196+'1.2.mell._HKÖH_Mérleg2019'!E196+'1.3.mell._HVÓBKI_Mérleg2019'!E196+'1.4.mell._HKK_Mérleg2019'!E196+'1.5._mell._MŐSZ_Mérleg2019'!E196+'1.6._mell._HVGYKCSSZ_Mérleg2019'!E196</f>
        <v>0</v>
      </c>
      <c r="F196" s="1562" t="str">
        <f t="shared" si="35"/>
        <v>-</v>
      </c>
      <c r="G196" s="19">
        <f>+'1.1.mell._ÖNK_Mérleg2019'!G196+'1.2.mell._HKÖH_Mérleg2019'!G196+'1.3.mell._HVÓBKI_Mérleg2019'!G196+'1.4.mell._HKK_Mérleg2019'!G196+'1.5._mell._MŐSZ_Mérleg2019'!G196+'1.6._mell._HVGYKCSSZ_Mérleg2019'!G196</f>
        <v>0</v>
      </c>
      <c r="H196" s="12">
        <f>+'1.1.mell._ÖNK_Mérleg2019'!H196+'1.2.mell._HKÖH_Mérleg2019'!H196+'1.3.mell._HVÓBKI_Mérleg2019'!H196+'1.4.mell._HKK_Mérleg2019'!H196+'1.5._mell._MŐSZ_Mérleg2019'!H196+'1.6._mell._HVGYKCSSZ_Mérleg2019'!H196</f>
        <v>0</v>
      </c>
      <c r="I196" s="15">
        <f>+'1.1.mell._ÖNK_Mérleg2019'!I196+'1.2.mell._HKÖH_Mérleg2019'!I196+'1.3.mell._HVÓBKI_Mérleg2019'!I196+'1.4.mell._HKK_Mérleg2019'!I196+'1.5._mell._MŐSZ_Mérleg2019'!I196+'1.6._mell._HVGYKCSSZ_Mérleg2019'!I196</f>
        <v>0</v>
      </c>
      <c r="M196" s="13">
        <f t="shared" si="36"/>
        <v>0</v>
      </c>
    </row>
    <row r="197" spans="1:13" s="13" customFormat="1">
      <c r="A197" s="86" t="s">
        <v>215</v>
      </c>
      <c r="B197" s="66" t="s">
        <v>172</v>
      </c>
      <c r="C197" s="1136">
        <f>+'1.1.mell._ÖNK_Mérleg2019'!C197+'1.2.mell._HKÖH_Mérleg2019'!C197+'1.3.mell._HVÓBKI_Mérleg2019'!C197+'1.4.mell._HKK_Mérleg2019'!C197+'1.5._mell._MŐSZ_Mérleg2019'!C197+'1.6._mell._HVGYKCSSZ_Mérleg2019'!C197</f>
        <v>0</v>
      </c>
      <c r="D197" s="1145">
        <f>+'1.1.mell._ÖNK_Mérleg2019'!D197+'1.2.mell._HKÖH_Mérleg2019'!D197+'1.3.mell._HVÓBKI_Mérleg2019'!D197+'1.4.mell._HKK_Mérleg2019'!D197+'1.5._mell._MŐSZ_Mérleg2019'!D197+'1.6._mell._HVGYKCSSZ_Mérleg2019'!D197</f>
        <v>0</v>
      </c>
      <c r="E197" s="1145">
        <f>+'1.1.mell._ÖNK_Mérleg2019'!E197+'1.2.mell._HKÖH_Mérleg2019'!E197+'1.3.mell._HVÓBKI_Mérleg2019'!E197+'1.4.mell._HKK_Mérleg2019'!E197+'1.5._mell._MŐSZ_Mérleg2019'!E197+'1.6._mell._HVGYKCSSZ_Mérleg2019'!E197</f>
        <v>0</v>
      </c>
      <c r="F197" s="1562" t="str">
        <f t="shared" si="35"/>
        <v>-</v>
      </c>
      <c r="G197" s="19">
        <f>+'1.1.mell._ÖNK_Mérleg2019'!G197+'1.2.mell._HKÖH_Mérleg2019'!G197+'1.3.mell._HVÓBKI_Mérleg2019'!G197+'1.4.mell._HKK_Mérleg2019'!G197+'1.5._mell._MŐSZ_Mérleg2019'!G197+'1.6._mell._HVGYKCSSZ_Mérleg2019'!G197</f>
        <v>0</v>
      </c>
      <c r="H197" s="12">
        <f>+'1.1.mell._ÖNK_Mérleg2019'!H197+'1.2.mell._HKÖH_Mérleg2019'!H197+'1.3.mell._HVÓBKI_Mérleg2019'!H197+'1.4.mell._HKK_Mérleg2019'!H197+'1.5._mell._MŐSZ_Mérleg2019'!H197+'1.6._mell._HVGYKCSSZ_Mérleg2019'!H197</f>
        <v>0</v>
      </c>
      <c r="I197" s="15">
        <f>+'1.1.mell._ÖNK_Mérleg2019'!I197+'1.2.mell._HKÖH_Mérleg2019'!I197+'1.3.mell._HVÓBKI_Mérleg2019'!I197+'1.4.mell._HKK_Mérleg2019'!I197+'1.5._mell._MŐSZ_Mérleg2019'!I197+'1.6._mell._HVGYKCSSZ_Mérleg2019'!I197</f>
        <v>0</v>
      </c>
      <c r="M197" s="13">
        <f t="shared" si="36"/>
        <v>0</v>
      </c>
    </row>
    <row r="198" spans="1:13" s="13" customFormat="1">
      <c r="A198" s="86" t="s">
        <v>216</v>
      </c>
      <c r="B198" s="66" t="s">
        <v>173</v>
      </c>
      <c r="C198" s="1136">
        <f>+'1.1.mell._ÖNK_Mérleg2019'!C198+'1.2.mell._HKÖH_Mérleg2019'!C198+'1.3.mell._HVÓBKI_Mérleg2019'!C198+'1.4.mell._HKK_Mérleg2019'!C198+'1.5._mell._MŐSZ_Mérleg2019'!C198+'1.6._mell._HVGYKCSSZ_Mérleg2019'!C198</f>
        <v>0</v>
      </c>
      <c r="D198" s="1145">
        <f>+'1.1.mell._ÖNK_Mérleg2019'!D198+'1.2.mell._HKÖH_Mérleg2019'!D198+'1.3.mell._HVÓBKI_Mérleg2019'!D198+'1.4.mell._HKK_Mérleg2019'!D198+'1.5._mell._MŐSZ_Mérleg2019'!D198+'1.6._mell._HVGYKCSSZ_Mérleg2019'!D198</f>
        <v>0</v>
      </c>
      <c r="E198" s="1145">
        <f>+'1.1.mell._ÖNK_Mérleg2019'!E198+'1.2.mell._HKÖH_Mérleg2019'!E198+'1.3.mell._HVÓBKI_Mérleg2019'!E198+'1.4.mell._HKK_Mérleg2019'!E198+'1.5._mell._MŐSZ_Mérleg2019'!E198+'1.6._mell._HVGYKCSSZ_Mérleg2019'!E198</f>
        <v>0</v>
      </c>
      <c r="F198" s="1562" t="str">
        <f t="shared" si="35"/>
        <v>-</v>
      </c>
      <c r="G198" s="19">
        <f>+'1.1.mell._ÖNK_Mérleg2019'!G198+'1.2.mell._HKÖH_Mérleg2019'!G198+'1.3.mell._HVÓBKI_Mérleg2019'!G198+'1.4.mell._HKK_Mérleg2019'!G198+'1.5._mell._MŐSZ_Mérleg2019'!G198+'1.6._mell._HVGYKCSSZ_Mérleg2019'!G198</f>
        <v>0</v>
      </c>
      <c r="H198" s="12">
        <f>+'1.1.mell._ÖNK_Mérleg2019'!H198+'1.2.mell._HKÖH_Mérleg2019'!H198+'1.3.mell._HVÓBKI_Mérleg2019'!H198+'1.4.mell._HKK_Mérleg2019'!H198+'1.5._mell._MŐSZ_Mérleg2019'!H198+'1.6._mell._HVGYKCSSZ_Mérleg2019'!H198</f>
        <v>0</v>
      </c>
      <c r="I198" s="15">
        <f>+'1.1.mell._ÖNK_Mérleg2019'!I198+'1.2.mell._HKÖH_Mérleg2019'!I198+'1.3.mell._HVÓBKI_Mérleg2019'!I198+'1.4.mell._HKK_Mérleg2019'!I198+'1.5._mell._MŐSZ_Mérleg2019'!I198+'1.6._mell._HVGYKCSSZ_Mérleg2019'!I198</f>
        <v>0</v>
      </c>
      <c r="M198" s="13">
        <f t="shared" si="36"/>
        <v>0</v>
      </c>
    </row>
    <row r="199" spans="1:13" s="13" customFormat="1">
      <c r="A199" s="103" t="s">
        <v>217</v>
      </c>
      <c r="B199" s="104" t="s">
        <v>174</v>
      </c>
      <c r="C199" s="1140"/>
      <c r="D199" s="1149"/>
      <c r="E199" s="1149"/>
      <c r="F199" s="1563" t="str">
        <f t="shared" si="35"/>
        <v>-</v>
      </c>
      <c r="G199" s="105"/>
      <c r="H199" s="106"/>
      <c r="I199" s="107"/>
      <c r="M199" s="117">
        <f t="shared" si="36"/>
        <v>0</v>
      </c>
    </row>
    <row r="200" spans="1:13" s="13" customFormat="1">
      <c r="A200" s="86" t="s">
        <v>218</v>
      </c>
      <c r="B200" s="66" t="s">
        <v>179</v>
      </c>
      <c r="C200" s="1136">
        <f>+'1.1.mell._ÖNK_Mérleg2019'!C200+'1.2.mell._HKÖH_Mérleg2019'!C200+'1.3.mell._HVÓBKI_Mérleg2019'!C200+'1.4.mell._HKK_Mérleg2019'!C200+'1.5._mell._MŐSZ_Mérleg2019'!C200+'1.6._mell._HVGYKCSSZ_Mérleg2019'!C200</f>
        <v>0</v>
      </c>
      <c r="D200" s="1145">
        <f>+'1.1.mell._ÖNK_Mérleg2019'!D200+'1.2.mell._HKÖH_Mérleg2019'!D200+'1.3.mell._HVÓBKI_Mérleg2019'!D200+'1.4.mell._HKK_Mérleg2019'!D200+'1.5._mell._MŐSZ_Mérleg2019'!D200+'1.6._mell._HVGYKCSSZ_Mérleg2019'!D200</f>
        <v>0</v>
      </c>
      <c r="E200" s="1145">
        <f>+'1.1.mell._ÖNK_Mérleg2019'!E200+'1.2.mell._HKÖH_Mérleg2019'!E200+'1.3.mell._HVÓBKI_Mérleg2019'!E200+'1.4.mell._HKK_Mérleg2019'!E200+'1.5._mell._MŐSZ_Mérleg2019'!E200+'1.6._mell._HVGYKCSSZ_Mérleg2019'!E200</f>
        <v>0</v>
      </c>
      <c r="F200" s="1562" t="str">
        <f t="shared" si="35"/>
        <v>-</v>
      </c>
      <c r="G200" s="19">
        <f>+'1.1.mell._ÖNK_Mérleg2019'!G200+'1.2.mell._HKÖH_Mérleg2019'!G200+'1.3.mell._HVÓBKI_Mérleg2019'!G200+'1.4.mell._HKK_Mérleg2019'!G200+'1.5._mell._MŐSZ_Mérleg2019'!G200+'1.6._mell._HVGYKCSSZ_Mérleg2019'!G200</f>
        <v>0</v>
      </c>
      <c r="H200" s="12">
        <f>+'1.1.mell._ÖNK_Mérleg2019'!H200+'1.2.mell._HKÖH_Mérleg2019'!H200+'1.3.mell._HVÓBKI_Mérleg2019'!H200+'1.4.mell._HKK_Mérleg2019'!H200+'1.5._mell._MŐSZ_Mérleg2019'!H200+'1.6._mell._HVGYKCSSZ_Mérleg2019'!H200</f>
        <v>0</v>
      </c>
      <c r="I200" s="15">
        <f>+'1.1.mell._ÖNK_Mérleg2019'!I200+'1.2.mell._HKÖH_Mérleg2019'!I200+'1.3.mell._HVÓBKI_Mérleg2019'!I200+'1.4.mell._HKK_Mérleg2019'!I200+'1.5._mell._MŐSZ_Mérleg2019'!I200+'1.6._mell._HVGYKCSSZ_Mérleg2019'!I200</f>
        <v>0</v>
      </c>
      <c r="M200" s="13">
        <f t="shared" si="36"/>
        <v>0</v>
      </c>
    </row>
    <row r="201" spans="1:13" s="13" customFormat="1">
      <c r="A201" s="86" t="s">
        <v>219</v>
      </c>
      <c r="B201" s="66" t="s">
        <v>175</v>
      </c>
      <c r="C201" s="1136">
        <f>+'1.1.mell._ÖNK_Mérleg2019'!C201+'1.2.mell._HKÖH_Mérleg2019'!C201+'1.3.mell._HVÓBKI_Mérleg2019'!C201+'1.4.mell._HKK_Mérleg2019'!C201+'1.5._mell._MŐSZ_Mérleg2019'!C201+'1.6._mell._HVGYKCSSZ_Mérleg2019'!C201</f>
        <v>0</v>
      </c>
      <c r="D201" s="1145">
        <f>+'1.1.mell._ÖNK_Mérleg2019'!D201+'1.2.mell._HKÖH_Mérleg2019'!D201+'1.3.mell._HVÓBKI_Mérleg2019'!D201+'1.4.mell._HKK_Mérleg2019'!D201+'1.5._mell._MŐSZ_Mérleg2019'!D201+'1.6._mell._HVGYKCSSZ_Mérleg2019'!D201</f>
        <v>0</v>
      </c>
      <c r="E201" s="1145">
        <f>+'1.1.mell._ÖNK_Mérleg2019'!E201+'1.2.mell._HKÖH_Mérleg2019'!E201+'1.3.mell._HVÓBKI_Mérleg2019'!E201+'1.4.mell._HKK_Mérleg2019'!E201+'1.5._mell._MŐSZ_Mérleg2019'!E201+'1.6._mell._HVGYKCSSZ_Mérleg2019'!E201</f>
        <v>0</v>
      </c>
      <c r="F201" s="1562" t="str">
        <f t="shared" si="35"/>
        <v>-</v>
      </c>
      <c r="G201" s="19">
        <f>+'1.1.mell._ÖNK_Mérleg2019'!G201+'1.2.mell._HKÖH_Mérleg2019'!G201+'1.3.mell._HVÓBKI_Mérleg2019'!G201+'1.4.mell._HKK_Mérleg2019'!G201+'1.5._mell._MŐSZ_Mérleg2019'!G201+'1.6._mell._HVGYKCSSZ_Mérleg2019'!G201</f>
        <v>0</v>
      </c>
      <c r="H201" s="12">
        <f>+'1.1.mell._ÖNK_Mérleg2019'!H201+'1.2.mell._HKÖH_Mérleg2019'!H201+'1.3.mell._HVÓBKI_Mérleg2019'!H201+'1.4.mell._HKK_Mérleg2019'!H201+'1.5._mell._MŐSZ_Mérleg2019'!H201+'1.6._mell._HVGYKCSSZ_Mérleg2019'!H201</f>
        <v>0</v>
      </c>
      <c r="I201" s="15">
        <f>+'1.1.mell._ÖNK_Mérleg2019'!I201+'1.2.mell._HKÖH_Mérleg2019'!I201+'1.3.mell._HVÓBKI_Mérleg2019'!I201+'1.4.mell._HKK_Mérleg2019'!I201+'1.5._mell._MŐSZ_Mérleg2019'!I201+'1.6._mell._HVGYKCSSZ_Mérleg2019'!I201</f>
        <v>0</v>
      </c>
      <c r="M201" s="13">
        <f t="shared" si="36"/>
        <v>0</v>
      </c>
    </row>
    <row r="202" spans="1:13" s="13" customFormat="1">
      <c r="A202" s="86" t="s">
        <v>220</v>
      </c>
      <c r="B202" s="66" t="s">
        <v>176</v>
      </c>
      <c r="C202" s="1136">
        <f>+'1.1.mell._ÖNK_Mérleg2019'!C202+'1.2.mell._HKÖH_Mérleg2019'!C202+'1.3.mell._HVÓBKI_Mérleg2019'!C202+'1.4.mell._HKK_Mérleg2019'!C202+'1.5._mell._MŐSZ_Mérleg2019'!C202+'1.6._mell._HVGYKCSSZ_Mérleg2019'!C202</f>
        <v>0</v>
      </c>
      <c r="D202" s="1145">
        <f>+'1.1.mell._ÖNK_Mérleg2019'!D202+'1.2.mell._HKÖH_Mérleg2019'!D202+'1.3.mell._HVÓBKI_Mérleg2019'!D202+'1.4.mell._HKK_Mérleg2019'!D202+'1.5._mell._MŐSZ_Mérleg2019'!D202+'1.6._mell._HVGYKCSSZ_Mérleg2019'!D202</f>
        <v>0</v>
      </c>
      <c r="E202" s="1145">
        <f>+'1.1.mell._ÖNK_Mérleg2019'!E202+'1.2.mell._HKÖH_Mérleg2019'!E202+'1.3.mell._HVÓBKI_Mérleg2019'!E202+'1.4.mell._HKK_Mérleg2019'!E202+'1.5._mell._MŐSZ_Mérleg2019'!E202+'1.6._mell._HVGYKCSSZ_Mérleg2019'!E202</f>
        <v>0</v>
      </c>
      <c r="F202" s="1562" t="str">
        <f t="shared" si="35"/>
        <v>-</v>
      </c>
      <c r="G202" s="19">
        <f>+'1.1.mell._ÖNK_Mérleg2019'!G202+'1.2.mell._HKÖH_Mérleg2019'!G202+'1.3.mell._HVÓBKI_Mérleg2019'!G202+'1.4.mell._HKK_Mérleg2019'!G202+'1.5._mell._MŐSZ_Mérleg2019'!G202+'1.6._mell._HVGYKCSSZ_Mérleg2019'!G202</f>
        <v>0</v>
      </c>
      <c r="H202" s="12">
        <f>+'1.1.mell._ÖNK_Mérleg2019'!H202+'1.2.mell._HKÖH_Mérleg2019'!H202+'1.3.mell._HVÓBKI_Mérleg2019'!H202+'1.4.mell._HKK_Mérleg2019'!H202+'1.5._mell._MŐSZ_Mérleg2019'!H202+'1.6._mell._HVGYKCSSZ_Mérleg2019'!H202</f>
        <v>0</v>
      </c>
      <c r="I202" s="15">
        <f>+'1.1.mell._ÖNK_Mérleg2019'!I202+'1.2.mell._HKÖH_Mérleg2019'!I202+'1.3.mell._HVÓBKI_Mérleg2019'!I202+'1.4.mell._HKK_Mérleg2019'!I202+'1.5._mell._MŐSZ_Mérleg2019'!I202+'1.6._mell._HVGYKCSSZ_Mérleg2019'!I202</f>
        <v>0</v>
      </c>
      <c r="M202" s="13">
        <f t="shared" si="36"/>
        <v>0</v>
      </c>
    </row>
    <row r="203" spans="1:13" s="13" customFormat="1">
      <c r="A203" s="86" t="s">
        <v>939</v>
      </c>
      <c r="B203" s="66" t="s">
        <v>941</v>
      </c>
      <c r="C203" s="1136">
        <f>+'1.1.mell._ÖNK_Mérleg2019'!C203+'1.2.mell._HKÖH_Mérleg2019'!C203+'1.3.mell._HVÓBKI_Mérleg2019'!C203+'1.4.mell._HKK_Mérleg2019'!C203+'1.5._mell._MŐSZ_Mérleg2019'!C203+'1.6._mell._HVGYKCSSZ_Mérleg2019'!C203</f>
        <v>0</v>
      </c>
      <c r="D203" s="1145">
        <f>+'1.1.mell._ÖNK_Mérleg2019'!D203+'1.2.mell._HKÖH_Mérleg2019'!D203+'1.3.mell._HVÓBKI_Mérleg2019'!D203+'1.4.mell._HKK_Mérleg2019'!D203+'1.5._mell._MŐSZ_Mérleg2019'!D203+'1.6._mell._HVGYKCSSZ_Mérleg2019'!D203</f>
        <v>0</v>
      </c>
      <c r="E203" s="1145">
        <f>+'1.1.mell._ÖNK_Mérleg2019'!E203+'1.2.mell._HKÖH_Mérleg2019'!E203+'1.3.mell._HVÓBKI_Mérleg2019'!E203+'1.4.mell._HKK_Mérleg2019'!E203+'1.5._mell._MŐSZ_Mérleg2019'!E203+'1.6._mell._HVGYKCSSZ_Mérleg2019'!E203</f>
        <v>0</v>
      </c>
      <c r="F203" s="1562" t="str">
        <f t="shared" si="35"/>
        <v>-</v>
      </c>
      <c r="G203" s="19">
        <f>+'1.1.mell._ÖNK_Mérleg2019'!G203+'1.2.mell._HKÖH_Mérleg2019'!G203+'1.3.mell._HVÓBKI_Mérleg2019'!G203+'1.4.mell._HKK_Mérleg2019'!G203+'1.5._mell._MŐSZ_Mérleg2019'!G203+'1.6._mell._HVGYKCSSZ_Mérleg2019'!G203</f>
        <v>0</v>
      </c>
      <c r="H203" s="12">
        <f>+'1.1.mell._ÖNK_Mérleg2019'!H203+'1.2.mell._HKÖH_Mérleg2019'!H203+'1.3.mell._HVÓBKI_Mérleg2019'!H203+'1.4.mell._HKK_Mérleg2019'!H203+'1.5._mell._MŐSZ_Mérleg2019'!H203+'1.6._mell._HVGYKCSSZ_Mérleg2019'!H203</f>
        <v>0</v>
      </c>
      <c r="I203" s="15">
        <f>+'1.1.mell._ÖNK_Mérleg2019'!I203+'1.2.mell._HKÖH_Mérleg2019'!I203+'1.3.mell._HVÓBKI_Mérleg2019'!I203+'1.4.mell._HKK_Mérleg2019'!I203+'1.5._mell._MŐSZ_Mérleg2019'!I203+'1.6._mell._HVGYKCSSZ_Mérleg2019'!I203</f>
        <v>0</v>
      </c>
      <c r="M203" s="13">
        <f t="shared" si="36"/>
        <v>0</v>
      </c>
    </row>
    <row r="204" spans="1:13">
      <c r="A204" s="85" t="s">
        <v>79</v>
      </c>
      <c r="B204" s="67" t="s">
        <v>177</v>
      </c>
      <c r="C204" s="1137">
        <f>+'1.1.mell._ÖNK_Mérleg2019'!C204+'1.2.mell._HKÖH_Mérleg2019'!C204+'1.3.mell._HVÓBKI_Mérleg2019'!C204+'1.4.mell._HKK_Mérleg2019'!C204+'1.5._mell._MŐSZ_Mérleg2019'!C204+'1.6._mell._HVGYKCSSZ_Mérleg2019'!C204</f>
        <v>0</v>
      </c>
      <c r="D204" s="1146">
        <f>+'1.1.mell._ÖNK_Mérleg2019'!D204+'1.2.mell._HKÖH_Mérleg2019'!D204+'1.3.mell._HVÓBKI_Mérleg2019'!D204+'1.4.mell._HKK_Mérleg2019'!D204+'1.5._mell._MŐSZ_Mérleg2019'!D204+'1.6._mell._HVGYKCSSZ_Mérleg2019'!D204</f>
        <v>0</v>
      </c>
      <c r="E204" s="1146">
        <f>+'1.1.mell._ÖNK_Mérleg2019'!E204+'1.2.mell._HKÖH_Mérleg2019'!E204+'1.3.mell._HVÓBKI_Mérleg2019'!E204+'1.4.mell._HKK_Mérleg2019'!E204+'1.5._mell._MŐSZ_Mérleg2019'!E204+'1.6._mell._HVGYKCSSZ_Mérleg2019'!E204</f>
        <v>0</v>
      </c>
      <c r="F204" s="1562" t="str">
        <f t="shared" si="35"/>
        <v>-</v>
      </c>
      <c r="G204" s="20">
        <f>+'1.1.mell._ÖNK_Mérleg2019'!G204+'1.2.mell._HKÖH_Mérleg2019'!G204+'1.3.mell._HVÓBKI_Mérleg2019'!G204+'1.4.mell._HKK_Mérleg2019'!G204+'1.5._mell._MŐSZ_Mérleg2019'!G204+'1.6._mell._HVGYKCSSZ_Mérleg2019'!G204</f>
        <v>0</v>
      </c>
      <c r="H204" s="11">
        <f>+'1.1.mell._ÖNK_Mérleg2019'!H204+'1.2.mell._HKÖH_Mérleg2019'!H204+'1.3.mell._HVÓBKI_Mérleg2019'!H204+'1.4.mell._HKK_Mérleg2019'!H204+'1.5._mell._MŐSZ_Mérleg2019'!H204+'1.6._mell._HVGYKCSSZ_Mérleg2019'!H204</f>
        <v>0</v>
      </c>
      <c r="I204" s="16">
        <f>+'1.1.mell._ÖNK_Mérleg2019'!I204+'1.2.mell._HKÖH_Mérleg2019'!I204+'1.3.mell._HVÓBKI_Mérleg2019'!I204+'1.4.mell._HKK_Mérleg2019'!I204+'1.5._mell._MŐSZ_Mérleg2019'!I204+'1.6._mell._HVGYKCSSZ_Mérleg2019'!I204</f>
        <v>0</v>
      </c>
      <c r="M204" s="4">
        <f t="shared" si="36"/>
        <v>0</v>
      </c>
    </row>
    <row r="205" spans="1:13">
      <c r="A205" s="78" t="s">
        <v>221</v>
      </c>
      <c r="B205" s="68" t="s">
        <v>178</v>
      </c>
      <c r="C205" s="1138">
        <f>+'1.1.mell._ÖNK_Mérleg2019'!C205+'1.2.mell._HKÖH_Mérleg2019'!C205+'1.3.mell._HVÓBKI_Mérleg2019'!C205+'1.4.mell._HKK_Mérleg2019'!C205+'1.5._mell._MŐSZ_Mérleg2019'!C205+'1.6._mell._HVGYKCSSZ_Mérleg2019'!C205</f>
        <v>0</v>
      </c>
      <c r="D205" s="1147">
        <f>+'1.1.mell._ÖNK_Mérleg2019'!D205+'1.2.mell._HKÖH_Mérleg2019'!D205+'1.3.mell._HVÓBKI_Mérleg2019'!D205+'1.4.mell._HKK_Mérleg2019'!D205+'1.5._mell._MŐSZ_Mérleg2019'!D205+'1.6._mell._HVGYKCSSZ_Mérleg2019'!D205</f>
        <v>0</v>
      </c>
      <c r="E205" s="1147">
        <f>+'1.1.mell._ÖNK_Mérleg2019'!E205+'1.2.mell._HKÖH_Mérleg2019'!E205+'1.3.mell._HVÓBKI_Mérleg2019'!E205+'1.4.mell._HKK_Mérleg2019'!E205+'1.5._mell._MŐSZ_Mérleg2019'!E205+'1.6._mell._HVGYKCSSZ_Mérleg2019'!E205</f>
        <v>0</v>
      </c>
      <c r="F205" s="1561" t="str">
        <f t="shared" si="35"/>
        <v>-</v>
      </c>
      <c r="G205" s="21">
        <f>+'1.1.mell._ÖNK_Mérleg2019'!G205+'1.2.mell._HKÖH_Mérleg2019'!G205+'1.3.mell._HVÓBKI_Mérleg2019'!G205+'1.4.mell._HKK_Mérleg2019'!G205+'1.5._mell._MŐSZ_Mérleg2019'!G205+'1.6._mell._HVGYKCSSZ_Mérleg2019'!G205</f>
        <v>0</v>
      </c>
      <c r="H205" s="22">
        <f>+'1.1.mell._ÖNK_Mérleg2019'!H205+'1.2.mell._HKÖH_Mérleg2019'!H205+'1.3.mell._HVÓBKI_Mérleg2019'!H205+'1.4.mell._HKK_Mérleg2019'!H205+'1.5._mell._MŐSZ_Mérleg2019'!H205+'1.6._mell._HVGYKCSSZ_Mérleg2019'!H205</f>
        <v>0</v>
      </c>
      <c r="I205" s="23">
        <f>+'1.1.mell._ÖNK_Mérleg2019'!I205+'1.2.mell._HKÖH_Mérleg2019'!I205+'1.3.mell._HVÓBKI_Mérleg2019'!I205+'1.4.mell._HKK_Mérleg2019'!I205+'1.5._mell._MŐSZ_Mérleg2019'!I205+'1.6._mell._HVGYKCSSZ_Mérleg2019'!I205</f>
        <v>0</v>
      </c>
      <c r="M205" s="4">
        <f t="shared" si="36"/>
        <v>0</v>
      </c>
    </row>
    <row r="206" spans="1:13" ht="12.75" thickBot="1">
      <c r="A206" s="78" t="s">
        <v>943</v>
      </c>
      <c r="B206" s="68" t="s">
        <v>942</v>
      </c>
      <c r="C206" s="1138">
        <f>+'1.1.mell._ÖNK_Mérleg2019'!C206+'1.2.mell._HKÖH_Mérleg2019'!C206+'1.3.mell._HVÓBKI_Mérleg2019'!C206+'1.4.mell._HKK_Mérleg2019'!C206+'1.5._mell._MŐSZ_Mérleg2019'!C206+'1.6._mell._HVGYKCSSZ_Mérleg2019'!C206</f>
        <v>0</v>
      </c>
      <c r="D206" s="1147">
        <f>+'1.1.mell._ÖNK_Mérleg2019'!D206+'1.2.mell._HKÖH_Mérleg2019'!D206+'1.3.mell._HVÓBKI_Mérleg2019'!D206+'1.4.mell._HKK_Mérleg2019'!D206+'1.5._mell._MŐSZ_Mérleg2019'!D206+'1.6._mell._HVGYKCSSZ_Mérleg2019'!D206</f>
        <v>0</v>
      </c>
      <c r="E206" s="1147">
        <f>+'1.1.mell._ÖNK_Mérleg2019'!E206+'1.2.mell._HKÖH_Mérleg2019'!E206+'1.3.mell._HVÓBKI_Mérleg2019'!E206+'1.4.mell._HKK_Mérleg2019'!E206+'1.5._mell._MŐSZ_Mérleg2019'!E206+'1.6._mell._HVGYKCSSZ_Mérleg2019'!E206</f>
        <v>0</v>
      </c>
      <c r="F206" s="1561" t="str">
        <f t="shared" si="35"/>
        <v>-</v>
      </c>
      <c r="G206" s="21">
        <f>+'1.1.mell._ÖNK_Mérleg2019'!G206+'1.2.mell._HKÖH_Mérleg2019'!G206+'1.3.mell._HVÓBKI_Mérleg2019'!G206+'1.4.mell._HKK_Mérleg2019'!G206+'1.5._mell._MŐSZ_Mérleg2019'!G206+'1.6._mell._HVGYKCSSZ_Mérleg2019'!G206</f>
        <v>0</v>
      </c>
      <c r="H206" s="22">
        <f>+'1.1.mell._ÖNK_Mérleg2019'!H206+'1.2.mell._HKÖH_Mérleg2019'!H206+'1.3.mell._HVÓBKI_Mérleg2019'!H206+'1.4.mell._HKK_Mérleg2019'!H206+'1.5._mell._MŐSZ_Mérleg2019'!H206+'1.6._mell._HVGYKCSSZ_Mérleg2019'!H206</f>
        <v>0</v>
      </c>
      <c r="I206" s="23">
        <f>+'1.1.mell._ÖNK_Mérleg2019'!I206+'1.2.mell._HKÖH_Mérleg2019'!I206+'1.3.mell._HVÓBKI_Mérleg2019'!I206+'1.4.mell._HKK_Mérleg2019'!I206+'1.5._mell._MŐSZ_Mérleg2019'!I206+'1.6._mell._HVGYKCSSZ_Mérleg2019'!I206</f>
        <v>0</v>
      </c>
      <c r="M206" s="4">
        <f t="shared" si="36"/>
        <v>0</v>
      </c>
    </row>
    <row r="207" spans="1:13" s="3" customFormat="1" ht="12.75" thickBot="1">
      <c r="A207" s="83" t="s">
        <v>40</v>
      </c>
      <c r="B207" s="69" t="s">
        <v>317</v>
      </c>
      <c r="C207" s="1134">
        <f t="shared" ref="C207:E207" si="44">+C177+C192</f>
        <v>26671</v>
      </c>
      <c r="D207" s="1143">
        <f t="shared" si="44"/>
        <v>91948</v>
      </c>
      <c r="E207" s="1143">
        <f t="shared" si="44"/>
        <v>91948</v>
      </c>
      <c r="F207" s="1558">
        <f t="shared" si="35"/>
        <v>1</v>
      </c>
      <c r="G207" s="27">
        <f>+G177+G192</f>
        <v>91948</v>
      </c>
      <c r="H207" s="28">
        <f>+H177+H192</f>
        <v>0</v>
      </c>
      <c r="I207" s="29">
        <f>+I177+I192</f>
        <v>0</v>
      </c>
      <c r="J207" s="628">
        <f>+C207/$C$208</f>
        <v>5.7689242062727289E-3</v>
      </c>
      <c r="K207" s="628">
        <f>+D207/$D$208</f>
        <v>1.3830423140433215E-2</v>
      </c>
      <c r="L207" s="628">
        <f>+E207/$E$208</f>
        <v>2.9428699543245125E-2</v>
      </c>
      <c r="M207" s="3">
        <f t="shared" si="36"/>
        <v>0</v>
      </c>
    </row>
    <row r="208" spans="1:13" s="3" customFormat="1" ht="12.75" thickBot="1">
      <c r="A208" s="87" t="s">
        <v>39</v>
      </c>
      <c r="B208" s="71" t="s">
        <v>335</v>
      </c>
      <c r="C208" s="1141">
        <f t="shared" ref="C208:E208" si="45">+C176+C207</f>
        <v>4623219</v>
      </c>
      <c r="D208" s="1150">
        <f t="shared" si="45"/>
        <v>6648242</v>
      </c>
      <c r="E208" s="1150">
        <f t="shared" si="45"/>
        <v>3124433</v>
      </c>
      <c r="F208" s="1564">
        <f t="shared" si="35"/>
        <v>0.46996378892344776</v>
      </c>
      <c r="G208" s="24">
        <f>+G176+G207</f>
        <v>3065601</v>
      </c>
      <c r="H208" s="25">
        <f>+H176+H207</f>
        <v>51620</v>
      </c>
      <c r="I208" s="26">
        <f>+I176+I207</f>
        <v>7212</v>
      </c>
      <c r="J208" s="628">
        <f>+C208/$C$208</f>
        <v>1</v>
      </c>
      <c r="K208" s="628">
        <f>+D208/$D$208</f>
        <v>1</v>
      </c>
      <c r="L208" s="628">
        <f>+E208/$E$208</f>
        <v>1</v>
      </c>
      <c r="M208" s="3">
        <f t="shared" si="36"/>
        <v>0</v>
      </c>
    </row>
    <row r="211" spans="1:30" s="1" customFormat="1" ht="15.75">
      <c r="A211" s="1790" t="s">
        <v>89</v>
      </c>
      <c r="B211" s="1790"/>
      <c r="C211" s="1790"/>
      <c r="D211" s="1790"/>
      <c r="E211" s="1790"/>
      <c r="F211" s="1790"/>
      <c r="G211" s="1790"/>
      <c r="H211" s="1790"/>
      <c r="I211" s="1790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s="36" customFormat="1" ht="12.75" thickBot="1">
      <c r="A212" s="38" t="s">
        <v>282</v>
      </c>
      <c r="F212" s="1548"/>
      <c r="I212" s="37" t="s">
        <v>281</v>
      </c>
    </row>
    <row r="213" spans="1:30" s="3" customFormat="1" ht="12.75" thickBot="1">
      <c r="A213" s="83" t="s">
        <v>4</v>
      </c>
      <c r="B213" s="69" t="s">
        <v>318</v>
      </c>
      <c r="C213" s="1134">
        <f t="shared" ref="C213:I213" si="46">+C214+C215</f>
        <v>-2722100</v>
      </c>
      <c r="D213" s="1143">
        <f t="shared" si="46"/>
        <v>-3104656</v>
      </c>
      <c r="E213" s="1143">
        <f t="shared" si="46"/>
        <v>226072</v>
      </c>
      <c r="F213" s="1558">
        <f>IF(ISERROR(E213/D213),"-",E213/D213)</f>
        <v>-7.2817085049036029E-2</v>
      </c>
      <c r="G213" s="27">
        <f t="shared" si="46"/>
        <v>251222</v>
      </c>
      <c r="H213" s="28">
        <f t="shared" si="46"/>
        <v>-24460</v>
      </c>
      <c r="I213" s="29">
        <f t="shared" si="46"/>
        <v>-690</v>
      </c>
      <c r="M213" s="3">
        <f>+E213-G213-H213-I213</f>
        <v>0</v>
      </c>
    </row>
    <row r="214" spans="1:30">
      <c r="A214" s="84" t="s">
        <v>81</v>
      </c>
      <c r="B214" s="72" t="s">
        <v>319</v>
      </c>
      <c r="C214" s="1135">
        <f t="shared" ref="C214:I214" si="47">+C10-C109</f>
        <v>-2625375</v>
      </c>
      <c r="D214" s="1144">
        <f t="shared" si="47"/>
        <v>-2980595</v>
      </c>
      <c r="E214" s="1144">
        <f t="shared" si="47"/>
        <v>74334</v>
      </c>
      <c r="F214" s="1560">
        <f>IF(ISERROR(E214/D214),"-",E214/D214)</f>
        <v>-2.4939315807749794E-2</v>
      </c>
      <c r="G214" s="34">
        <f t="shared" si="47"/>
        <v>95280</v>
      </c>
      <c r="H214" s="10">
        <f t="shared" si="47"/>
        <v>-20256</v>
      </c>
      <c r="I214" s="35">
        <f t="shared" si="47"/>
        <v>-690</v>
      </c>
      <c r="M214" s="4">
        <f>+E214-G214-H214-I214</f>
        <v>0</v>
      </c>
    </row>
    <row r="215" spans="1:30" ht="12.75" thickBot="1">
      <c r="A215" s="88" t="s">
        <v>82</v>
      </c>
      <c r="B215" s="73" t="s">
        <v>320</v>
      </c>
      <c r="C215" s="1153">
        <f t="shared" ref="C215:I215" si="48">+C50-C149</f>
        <v>-96725</v>
      </c>
      <c r="D215" s="1154">
        <f t="shared" si="48"/>
        <v>-124061</v>
      </c>
      <c r="E215" s="1154">
        <f t="shared" si="48"/>
        <v>151738</v>
      </c>
      <c r="F215" s="1566">
        <f>IF(ISERROR(E215/D215),"-",E215/D215)</f>
        <v>-1.2230918660981291</v>
      </c>
      <c r="G215" s="40">
        <f t="shared" si="48"/>
        <v>155942</v>
      </c>
      <c r="H215" s="17">
        <f t="shared" si="48"/>
        <v>-4204</v>
      </c>
      <c r="I215" s="39">
        <f t="shared" si="48"/>
        <v>0</v>
      </c>
      <c r="M215" s="4">
        <f>+E215-G215-H215-I215</f>
        <v>0</v>
      </c>
    </row>
    <row r="218" spans="1:30" s="1" customFormat="1" ht="15.75">
      <c r="A218" s="1790" t="s">
        <v>90</v>
      </c>
      <c r="B218" s="1790"/>
      <c r="C218" s="1790"/>
      <c r="D218" s="1790"/>
      <c r="E218" s="1790"/>
      <c r="F218" s="1790"/>
      <c r="G218" s="1790"/>
      <c r="H218" s="1790"/>
      <c r="I218" s="1790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s="36" customFormat="1" ht="12.75" thickBot="1">
      <c r="A219" s="38" t="s">
        <v>283</v>
      </c>
      <c r="F219" s="1548"/>
      <c r="I219" s="37" t="s">
        <v>281</v>
      </c>
    </row>
    <row r="220" spans="1:30" s="3" customFormat="1" ht="12.75" thickBot="1">
      <c r="A220" s="83" t="s">
        <v>4</v>
      </c>
      <c r="B220" s="69" t="s">
        <v>321</v>
      </c>
      <c r="C220" s="1134">
        <f t="shared" ref="C220:I220" si="49">+C221+C228</f>
        <v>2722100</v>
      </c>
      <c r="D220" s="1143">
        <f t="shared" si="49"/>
        <v>3104656</v>
      </c>
      <c r="E220" s="1143">
        <f t="shared" si="49"/>
        <v>3104656</v>
      </c>
      <c r="F220" s="1558">
        <f t="shared" ref="F220:F234" si="50">IF(ISERROR(E220/D220),"-",E220/D220)</f>
        <v>1</v>
      </c>
      <c r="G220" s="27">
        <f t="shared" si="49"/>
        <v>3104641</v>
      </c>
      <c r="H220" s="28">
        <f t="shared" si="49"/>
        <v>15</v>
      </c>
      <c r="I220" s="29">
        <f t="shared" si="49"/>
        <v>0</v>
      </c>
      <c r="M220" s="3">
        <f t="shared" ref="M220:M234" si="51">+E220-G220-H220-I220</f>
        <v>0</v>
      </c>
    </row>
    <row r="221" spans="1:30" s="3" customFormat="1" ht="12.75" thickBot="1">
      <c r="A221" s="83" t="s">
        <v>5</v>
      </c>
      <c r="B221" s="64" t="s">
        <v>322</v>
      </c>
      <c r="C221" s="1134">
        <f t="shared" ref="C221:I221" si="52">+C222-C225</f>
        <v>2712101</v>
      </c>
      <c r="D221" s="1143">
        <f t="shared" si="52"/>
        <v>612362</v>
      </c>
      <c r="E221" s="1143">
        <f t="shared" si="52"/>
        <v>612362</v>
      </c>
      <c r="F221" s="1558">
        <f t="shared" si="50"/>
        <v>1</v>
      </c>
      <c r="G221" s="27">
        <f t="shared" si="52"/>
        <v>612347</v>
      </c>
      <c r="H221" s="28">
        <f t="shared" si="52"/>
        <v>15</v>
      </c>
      <c r="I221" s="29">
        <f t="shared" si="52"/>
        <v>0</v>
      </c>
      <c r="M221" s="3">
        <f t="shared" si="51"/>
        <v>0</v>
      </c>
    </row>
    <row r="222" spans="1:30">
      <c r="A222" s="84" t="s">
        <v>54</v>
      </c>
      <c r="B222" s="65" t="s">
        <v>323</v>
      </c>
      <c r="C222" s="1135">
        <f t="shared" ref="C222:I222" si="53">+C223+C224</f>
        <v>2738772</v>
      </c>
      <c r="D222" s="1144">
        <f t="shared" si="53"/>
        <v>704310</v>
      </c>
      <c r="E222" s="1144">
        <f t="shared" si="53"/>
        <v>704310</v>
      </c>
      <c r="F222" s="1560">
        <f t="shared" si="50"/>
        <v>1</v>
      </c>
      <c r="G222" s="34">
        <f t="shared" si="53"/>
        <v>704295</v>
      </c>
      <c r="H222" s="10">
        <f t="shared" si="53"/>
        <v>15</v>
      </c>
      <c r="I222" s="35">
        <f t="shared" si="53"/>
        <v>0</v>
      </c>
      <c r="M222" s="4">
        <f t="shared" si="51"/>
        <v>0</v>
      </c>
    </row>
    <row r="223" spans="1:30" s="13" customFormat="1">
      <c r="A223" s="86" t="s">
        <v>190</v>
      </c>
      <c r="B223" s="66" t="s">
        <v>285</v>
      </c>
      <c r="C223" s="1136">
        <f t="shared" ref="C223:I223" si="54">+C76+C80</f>
        <v>2738772</v>
      </c>
      <c r="D223" s="1145">
        <f t="shared" si="54"/>
        <v>608587</v>
      </c>
      <c r="E223" s="1145">
        <f t="shared" si="54"/>
        <v>608587</v>
      </c>
      <c r="F223" s="1562">
        <f t="shared" si="50"/>
        <v>1</v>
      </c>
      <c r="G223" s="19">
        <f t="shared" si="54"/>
        <v>608572</v>
      </c>
      <c r="H223" s="12">
        <f t="shared" si="54"/>
        <v>15</v>
      </c>
      <c r="I223" s="15">
        <f t="shared" si="54"/>
        <v>0</v>
      </c>
      <c r="M223" s="13">
        <f t="shared" si="51"/>
        <v>0</v>
      </c>
    </row>
    <row r="224" spans="1:30" s="13" customFormat="1">
      <c r="A224" s="86" t="s">
        <v>191</v>
      </c>
      <c r="B224" s="66" t="s">
        <v>286</v>
      </c>
      <c r="C224" s="1136">
        <f t="shared" ref="C224:I224" si="55">+C74+C75+C77+C78+C79+C81</f>
        <v>0</v>
      </c>
      <c r="D224" s="1145">
        <f t="shared" si="55"/>
        <v>95723</v>
      </c>
      <c r="E224" s="1145">
        <f t="shared" si="55"/>
        <v>95723</v>
      </c>
      <c r="F224" s="1562">
        <f t="shared" si="50"/>
        <v>1</v>
      </c>
      <c r="G224" s="19">
        <f t="shared" si="55"/>
        <v>95723</v>
      </c>
      <c r="H224" s="12">
        <f t="shared" si="55"/>
        <v>0</v>
      </c>
      <c r="I224" s="15">
        <f t="shared" si="55"/>
        <v>0</v>
      </c>
      <c r="M224" s="13">
        <f t="shared" si="51"/>
        <v>0</v>
      </c>
    </row>
    <row r="225" spans="1:30">
      <c r="A225" s="85" t="s">
        <v>55</v>
      </c>
      <c r="B225" s="67" t="s">
        <v>324</v>
      </c>
      <c r="C225" s="1137">
        <f t="shared" ref="C225:I225" si="56">+C227</f>
        <v>26671</v>
      </c>
      <c r="D225" s="1146">
        <f t="shared" si="56"/>
        <v>91948</v>
      </c>
      <c r="E225" s="1146">
        <f t="shared" si="56"/>
        <v>91948</v>
      </c>
      <c r="F225" s="1562">
        <f t="shared" si="50"/>
        <v>1</v>
      </c>
      <c r="G225" s="20">
        <f t="shared" si="56"/>
        <v>91948</v>
      </c>
      <c r="H225" s="11">
        <f t="shared" si="56"/>
        <v>0</v>
      </c>
      <c r="I225" s="16">
        <f t="shared" si="56"/>
        <v>0</v>
      </c>
      <c r="M225" s="4">
        <f t="shared" si="51"/>
        <v>0</v>
      </c>
    </row>
    <row r="226" spans="1:30" s="13" customFormat="1">
      <c r="A226" s="86" t="s">
        <v>56</v>
      </c>
      <c r="B226" s="66" t="s">
        <v>287</v>
      </c>
      <c r="C226" s="1136">
        <f t="shared" ref="C226:I226" si="57">+C185</f>
        <v>0</v>
      </c>
      <c r="D226" s="1145">
        <f t="shared" si="57"/>
        <v>0</v>
      </c>
      <c r="E226" s="1145">
        <f t="shared" si="57"/>
        <v>0</v>
      </c>
      <c r="F226" s="1562" t="str">
        <f t="shared" si="50"/>
        <v>-</v>
      </c>
      <c r="G226" s="19">
        <f t="shared" si="57"/>
        <v>0</v>
      </c>
      <c r="H226" s="12">
        <f t="shared" si="57"/>
        <v>0</v>
      </c>
      <c r="I226" s="15">
        <f t="shared" si="57"/>
        <v>0</v>
      </c>
      <c r="M226" s="13">
        <f t="shared" si="51"/>
        <v>0</v>
      </c>
    </row>
    <row r="227" spans="1:30" s="13" customFormat="1" ht="12.75" thickBot="1">
      <c r="A227" s="89" t="s">
        <v>57</v>
      </c>
      <c r="B227" s="74" t="s">
        <v>288</v>
      </c>
      <c r="C227" s="1139">
        <f t="shared" ref="C227:I227" si="58">+C180+C181+C182+C183+C184+C186+C187</f>
        <v>26671</v>
      </c>
      <c r="D227" s="1148">
        <f t="shared" si="58"/>
        <v>91948</v>
      </c>
      <c r="E227" s="1148">
        <f t="shared" si="58"/>
        <v>91948</v>
      </c>
      <c r="F227" s="1561">
        <f t="shared" si="50"/>
        <v>1</v>
      </c>
      <c r="G227" s="45">
        <f t="shared" si="58"/>
        <v>91948</v>
      </c>
      <c r="H227" s="43">
        <f t="shared" si="58"/>
        <v>0</v>
      </c>
      <c r="I227" s="44">
        <f t="shared" si="58"/>
        <v>0</v>
      </c>
      <c r="M227" s="13">
        <f t="shared" si="51"/>
        <v>0</v>
      </c>
    </row>
    <row r="228" spans="1:30" s="3" customFormat="1" ht="12.75" thickBot="1">
      <c r="A228" s="83" t="s">
        <v>6</v>
      </c>
      <c r="B228" s="64" t="s">
        <v>325</v>
      </c>
      <c r="C228" s="1134">
        <f t="shared" ref="C228:I228" si="59">+C229-C232</f>
        <v>9999</v>
      </c>
      <c r="D228" s="1143">
        <f t="shared" si="59"/>
        <v>2492294</v>
      </c>
      <c r="E228" s="1143">
        <f t="shared" si="59"/>
        <v>2492294</v>
      </c>
      <c r="F228" s="1558">
        <f t="shared" si="50"/>
        <v>1</v>
      </c>
      <c r="G228" s="27">
        <f t="shared" si="59"/>
        <v>2492294</v>
      </c>
      <c r="H228" s="28">
        <f t="shared" si="59"/>
        <v>0</v>
      </c>
      <c r="I228" s="29">
        <f t="shared" si="59"/>
        <v>0</v>
      </c>
      <c r="M228" s="3">
        <f t="shared" si="51"/>
        <v>0</v>
      </c>
    </row>
    <row r="229" spans="1:30">
      <c r="A229" s="84" t="s">
        <v>58</v>
      </c>
      <c r="B229" s="65" t="s">
        <v>326</v>
      </c>
      <c r="C229" s="1135">
        <f t="shared" ref="C229:I229" si="60">+C230+C231</f>
        <v>9999</v>
      </c>
      <c r="D229" s="1144">
        <f t="shared" si="60"/>
        <v>2492294</v>
      </c>
      <c r="E229" s="1144">
        <f t="shared" si="60"/>
        <v>2492294</v>
      </c>
      <c r="F229" s="1560">
        <f t="shared" si="50"/>
        <v>1</v>
      </c>
      <c r="G229" s="34">
        <f t="shared" si="60"/>
        <v>2492294</v>
      </c>
      <c r="H229" s="10">
        <f t="shared" si="60"/>
        <v>0</v>
      </c>
      <c r="I229" s="35">
        <f t="shared" si="60"/>
        <v>0</v>
      </c>
      <c r="M229" s="4">
        <f t="shared" si="51"/>
        <v>0</v>
      </c>
    </row>
    <row r="230" spans="1:30" s="13" customFormat="1">
      <c r="A230" s="86" t="s">
        <v>293</v>
      </c>
      <c r="B230" s="66" t="s">
        <v>291</v>
      </c>
      <c r="C230" s="1136">
        <f t="shared" ref="C230:I230" si="61">+C91+C95</f>
        <v>0</v>
      </c>
      <c r="D230" s="1145">
        <f t="shared" si="61"/>
        <v>2492294</v>
      </c>
      <c r="E230" s="1145">
        <f t="shared" si="61"/>
        <v>2492294</v>
      </c>
      <c r="F230" s="1562">
        <f t="shared" si="50"/>
        <v>1</v>
      </c>
      <c r="G230" s="19">
        <f t="shared" si="61"/>
        <v>2492294</v>
      </c>
      <c r="H230" s="12">
        <f t="shared" si="61"/>
        <v>0</v>
      </c>
      <c r="I230" s="15">
        <f t="shared" si="61"/>
        <v>0</v>
      </c>
      <c r="M230" s="13">
        <f t="shared" si="51"/>
        <v>0</v>
      </c>
    </row>
    <row r="231" spans="1:30" s="13" customFormat="1">
      <c r="A231" s="86" t="s">
        <v>294</v>
      </c>
      <c r="B231" s="66" t="s">
        <v>292</v>
      </c>
      <c r="C231" s="1136">
        <f t="shared" ref="C231:I231" si="62">+C89+C90+C92+C93+C94+C96</f>
        <v>9999</v>
      </c>
      <c r="D231" s="1145">
        <f t="shared" si="62"/>
        <v>0</v>
      </c>
      <c r="E231" s="1145">
        <f t="shared" si="62"/>
        <v>0</v>
      </c>
      <c r="F231" s="1562" t="str">
        <f t="shared" si="50"/>
        <v>-</v>
      </c>
      <c r="G231" s="19">
        <f t="shared" si="62"/>
        <v>0</v>
      </c>
      <c r="H231" s="12">
        <f t="shared" si="62"/>
        <v>0</v>
      </c>
      <c r="I231" s="15">
        <f t="shared" si="62"/>
        <v>0</v>
      </c>
      <c r="M231" s="13">
        <f t="shared" si="51"/>
        <v>0</v>
      </c>
    </row>
    <row r="232" spans="1:30">
      <c r="A232" s="85" t="s">
        <v>59</v>
      </c>
      <c r="B232" s="67" t="s">
        <v>327</v>
      </c>
      <c r="C232" s="1137">
        <f t="shared" ref="C232:I232" si="63">+C233+C234</f>
        <v>0</v>
      </c>
      <c r="D232" s="1146">
        <f t="shared" si="63"/>
        <v>0</v>
      </c>
      <c r="E232" s="1146">
        <f t="shared" si="63"/>
        <v>0</v>
      </c>
      <c r="F232" s="1562" t="str">
        <f t="shared" si="50"/>
        <v>-</v>
      </c>
      <c r="G232" s="20">
        <f t="shared" si="63"/>
        <v>0</v>
      </c>
      <c r="H232" s="11">
        <f t="shared" si="63"/>
        <v>0</v>
      </c>
      <c r="I232" s="16">
        <f t="shared" si="63"/>
        <v>0</v>
      </c>
      <c r="M232" s="4">
        <f t="shared" si="51"/>
        <v>0</v>
      </c>
    </row>
    <row r="233" spans="1:30" s="13" customFormat="1">
      <c r="A233" s="86" t="s">
        <v>295</v>
      </c>
      <c r="B233" s="66" t="s">
        <v>289</v>
      </c>
      <c r="C233" s="1136">
        <f t="shared" ref="C233:I233" si="64">+C200</f>
        <v>0</v>
      </c>
      <c r="D233" s="1145">
        <f t="shared" si="64"/>
        <v>0</v>
      </c>
      <c r="E233" s="1145">
        <f t="shared" si="64"/>
        <v>0</v>
      </c>
      <c r="F233" s="1562" t="str">
        <f t="shared" si="50"/>
        <v>-</v>
      </c>
      <c r="G233" s="19">
        <f t="shared" si="64"/>
        <v>0</v>
      </c>
      <c r="H233" s="12">
        <f t="shared" si="64"/>
        <v>0</v>
      </c>
      <c r="I233" s="15">
        <f t="shared" si="64"/>
        <v>0</v>
      </c>
      <c r="M233" s="13">
        <f t="shared" si="51"/>
        <v>0</v>
      </c>
    </row>
    <row r="234" spans="1:30" s="13" customFormat="1" ht="12.75" thickBot="1">
      <c r="A234" s="90" t="s">
        <v>296</v>
      </c>
      <c r="B234" s="75" t="s">
        <v>290</v>
      </c>
      <c r="C234" s="1155">
        <f t="shared" ref="C234:I234" si="65">+C195+C196+C197+C198+C199+C201+C202</f>
        <v>0</v>
      </c>
      <c r="D234" s="1156">
        <f t="shared" si="65"/>
        <v>0</v>
      </c>
      <c r="E234" s="1156">
        <f t="shared" si="65"/>
        <v>0</v>
      </c>
      <c r="F234" s="1566" t="str">
        <f t="shared" si="50"/>
        <v>-</v>
      </c>
      <c r="G234" s="46">
        <f t="shared" si="65"/>
        <v>0</v>
      </c>
      <c r="H234" s="41">
        <f t="shared" si="65"/>
        <v>0</v>
      </c>
      <c r="I234" s="42">
        <f t="shared" si="65"/>
        <v>0</v>
      </c>
      <c r="M234" s="13">
        <f t="shared" si="51"/>
        <v>0</v>
      </c>
    </row>
    <row r="237" spans="1:30" s="1" customFormat="1" ht="15.75">
      <c r="A237" s="1790" t="s">
        <v>1307</v>
      </c>
      <c r="B237" s="1790"/>
      <c r="C237" s="1790"/>
      <c r="D237" s="1790"/>
      <c r="E237" s="1790"/>
      <c r="F237" s="1790"/>
      <c r="G237" s="1790"/>
      <c r="H237" s="1790"/>
      <c r="I237" s="179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36" customFormat="1" ht="12.75" thickBot="1">
      <c r="A238" s="38" t="s">
        <v>284</v>
      </c>
      <c r="F238" s="1548"/>
      <c r="I238" s="37"/>
    </row>
    <row r="239" spans="1:30" s="3" customFormat="1">
      <c r="A239" s="91" t="s">
        <v>4</v>
      </c>
      <c r="B239" s="76" t="s">
        <v>91</v>
      </c>
      <c r="C239" s="1157">
        <f>+'1.1.mell._ÖNK_Mérleg2019'!C239+'1.2.mell._HKÖH_Mérleg2019'!C239+'1.3.mell._HVÓBKI_Mérleg2019'!C239+'1.4.mell._HKK_Mérleg2019'!C239+'1.5._mell._MŐSZ_Mérleg2019'!C239+'1.6._mell._HVGYKCSSZ_Mérleg2019'!C239</f>
        <v>187</v>
      </c>
      <c r="D239" s="1161">
        <f>+'1.1.mell._ÖNK_Mérleg2019'!D239+'1.2.mell._HKÖH_Mérleg2019'!D239+'1.3.mell._HVÓBKI_Mérleg2019'!D239+'1.4.mell._HKK_Mérleg2019'!D239+'1.5._mell._MŐSZ_Mérleg2019'!D239+'1.6._mell._HVGYKCSSZ_Mérleg2019'!D239</f>
        <v>269</v>
      </c>
      <c r="E239" s="1161">
        <f>+'1.1.mell._ÖNK_Mérleg2019'!E239+'1.2.mell._HKÖH_Mérleg2019'!E239+'1.3.mell._HVÓBKI_Mérleg2019'!E239+'1.4.mell._HKK_Mérleg2019'!E239+'1.5._mell._MŐSZ_Mérleg2019'!E239+'1.6._mell._HVGYKCSSZ_Mérleg2019'!E239</f>
        <v>231</v>
      </c>
      <c r="F239" s="1559">
        <f>IF(ISERROR(E239/D239),"-",E239/D239)</f>
        <v>0.85873605947955389</v>
      </c>
      <c r="G239" s="54">
        <f>+'1.1.mell._ÖNK_Mérleg2019'!G239+'1.2.mell._HKÖH_Mérleg2019'!G239+'1.3.mell._HVÓBKI_Mérleg2019'!G239+'1.4.mell._HKK_Mérleg2019'!G239+'1.5._mell._MŐSZ_Mérleg2019'!G239+'1.6._mell._HVGYKCSSZ_Mérleg2019'!G239</f>
        <v>224</v>
      </c>
      <c r="H239" s="55">
        <f>+'1.1.mell._ÖNK_Mérleg2019'!H239+'1.2.mell._HKÖH_Mérleg2019'!H239+'1.3.mell._HVÓBKI_Mérleg2019'!H239+'1.4.mell._HKK_Mérleg2019'!H239+'1.5._mell._MŐSZ_Mérleg2019'!H239+'1.6._mell._HVGYKCSSZ_Mérleg2019'!H239</f>
        <v>7</v>
      </c>
      <c r="I239" s="56">
        <f>+'1.1.mell._ÖNK_Mérleg2019'!I239+'1.2.mell._HKÖH_Mérleg2019'!I239+'1.3.mell._HVÓBKI_Mérleg2019'!I239+'1.4.mell._HKK_Mérleg2019'!I239+'1.5._mell._MŐSZ_Mérleg2019'!I239+'1.6._mell._HVGYKCSSZ_Mérleg2019'!I239</f>
        <v>0</v>
      </c>
      <c r="M239" s="3">
        <f>+E239-G239-H239-I239</f>
        <v>0</v>
      </c>
    </row>
    <row r="240" spans="1:30" s="13" customFormat="1">
      <c r="A240" s="89" t="s">
        <v>351</v>
      </c>
      <c r="B240" s="99" t="s">
        <v>352</v>
      </c>
      <c r="C240" s="1158">
        <f>+'1.1.mell._ÖNK_Mérleg2019'!C240+'1.2.mell._HKÖH_Mérleg2019'!C240+'1.3.mell._HVÓBKI_Mérleg2019'!C240+'1.4.mell._HKK_Mérleg2019'!C240+'1.5._mell._MŐSZ_Mérleg2019'!C240+'1.6._mell._HVGYKCSSZ_Mérleg2019'!C240</f>
        <v>0</v>
      </c>
      <c r="D240" s="1162">
        <f>+'1.1.mell._ÖNK_Mérleg2019'!D240+'1.2.mell._HKÖH_Mérleg2019'!D240+'1.3.mell._HVÓBKI_Mérleg2019'!D240+'1.4.mell._HKK_Mérleg2019'!D240+'1.5._mell._MŐSZ_Mérleg2019'!D240+'1.6._mell._HVGYKCSSZ_Mérleg2019'!D240</f>
        <v>27</v>
      </c>
      <c r="E240" s="1162">
        <f>+'1.1.mell._ÖNK_Mérleg2019'!E240+'1.2.mell._HKÖH_Mérleg2019'!E240+'1.3.mell._HVÓBKI_Mérleg2019'!E240+'1.4.mell._HKK_Mérleg2019'!E240+'1.5._mell._MŐSZ_Mérleg2019'!E240+'1.6._mell._HVGYKCSSZ_Mérleg2019'!E240</f>
        <v>27</v>
      </c>
      <c r="F240" s="1561">
        <f>IF(ISERROR(E240/D240),"-",E240/D240)</f>
        <v>1</v>
      </c>
      <c r="G240" s="100">
        <f>+'1.1.mell._ÖNK_Mérleg2019'!G240+'1.2.mell._HKÖH_Mérleg2019'!G240+'1.3.mell._HVÓBKI_Mérleg2019'!G240+'1.4.mell._HKK_Mérleg2019'!G240+'1.5._mell._MŐSZ_Mérleg2019'!G240+'1.6._mell._HVGYKCSSZ_Mérleg2019'!G240</f>
        <v>27</v>
      </c>
      <c r="H240" s="101">
        <f>+'1.1.mell._ÖNK_Mérleg2019'!H240+'1.2.mell._HKÖH_Mérleg2019'!H240+'1.3.mell._HVÓBKI_Mérleg2019'!H240+'1.4.mell._HKK_Mérleg2019'!H240+'1.5._mell._MŐSZ_Mérleg2019'!H240+'1.6._mell._HVGYKCSSZ_Mérleg2019'!H240</f>
        <v>0</v>
      </c>
      <c r="I240" s="102">
        <f>+'1.1.mell._ÖNK_Mérleg2019'!I240+'1.2.mell._HKÖH_Mérleg2019'!I240+'1.3.mell._HVÓBKI_Mérleg2019'!I240+'1.4.mell._HKK_Mérleg2019'!I240+'1.5._mell._MŐSZ_Mérleg2019'!I240+'1.6._mell._HVGYKCSSZ_Mérleg2019'!I240</f>
        <v>0</v>
      </c>
      <c r="M240" s="13">
        <f>+E240-G240-H240-I240</f>
        <v>0</v>
      </c>
    </row>
    <row r="241" spans="1:13" s="3" customFormat="1" ht="12.75" thickBot="1">
      <c r="A241" s="92" t="s">
        <v>5</v>
      </c>
      <c r="B241" s="77" t="s">
        <v>92</v>
      </c>
      <c r="C241" s="1159">
        <f>+'1.1.mell._ÖNK_Mérleg2019'!C241+'1.2.mell._HKÖH_Mérleg2019'!C241+'1.3.mell._HVÓBKI_Mérleg2019'!C241+'1.4.mell._HKK_Mérleg2019'!C241+'1.5._mell._MŐSZ_Mérleg2019'!C241+'1.6._mell._HVGYKCSSZ_Mérleg2019'!C241</f>
        <v>121</v>
      </c>
      <c r="D241" s="1163">
        <f>+'1.1.mell._ÖNK_Mérleg2019'!D241+'1.2.mell._HKÖH_Mérleg2019'!D241+'1.3.mell._HVÓBKI_Mérleg2019'!D241+'1.4.mell._HKK_Mérleg2019'!D241+'1.5._mell._MŐSZ_Mérleg2019'!D241+'1.6._mell._HVGYKCSSZ_Mérleg2019'!D241</f>
        <v>157</v>
      </c>
      <c r="E241" s="1163">
        <f>+'1.1.mell._ÖNK_Mérleg2019'!E241+'1.2.mell._HKÖH_Mérleg2019'!E241+'1.3.mell._HVÓBKI_Mérleg2019'!E241+'1.4.mell._HKK_Mérleg2019'!E241+'1.5._mell._MŐSZ_Mérleg2019'!E241+'1.6._mell._HVGYKCSSZ_Mérleg2019'!E241</f>
        <v>121</v>
      </c>
      <c r="F241" s="1567">
        <f>IF(ISERROR(E241/D241),"-",E241/D241)</f>
        <v>0.77070063694267521</v>
      </c>
      <c r="G241" s="57">
        <f>+'1.1.mell._ÖNK_Mérleg2019'!G241+'1.2.mell._HKÖH_Mérleg2019'!G241+'1.3.mell._HVÓBKI_Mérleg2019'!G241+'1.4.mell._HKK_Mérleg2019'!G241+'1.5._mell._MŐSZ_Mérleg2019'!G241+'1.6._mell._HVGYKCSSZ_Mérleg2019'!G241</f>
        <v>121</v>
      </c>
      <c r="H241" s="58">
        <f>+'1.1.mell._ÖNK_Mérleg2019'!H241+'1.2.mell._HKÖH_Mérleg2019'!H241+'1.3.mell._HVÓBKI_Mérleg2019'!H241+'1.4.mell._HKK_Mérleg2019'!H241+'1.5._mell._MŐSZ_Mérleg2019'!H241+'1.6._mell._HVGYKCSSZ_Mérleg2019'!H241</f>
        <v>0</v>
      </c>
      <c r="I241" s="59">
        <f>+'1.1.mell._ÖNK_Mérleg2019'!I241+'1.2.mell._HKÖH_Mérleg2019'!I241+'1.3.mell._HVÓBKI_Mérleg2019'!I241+'1.4.mell._HKK_Mérleg2019'!I241+'1.5._mell._MŐSZ_Mérleg2019'!I241+'1.6._mell._HVGYKCSSZ_Mérleg2019'!I241</f>
        <v>0</v>
      </c>
      <c r="M241" s="3">
        <f>+E241-G241-H241-I241</f>
        <v>0</v>
      </c>
    </row>
    <row r="242" spans="1:13" s="3" customFormat="1" ht="12.75" thickBot="1">
      <c r="A242" s="83" t="s">
        <v>6</v>
      </c>
      <c r="B242" s="69" t="s">
        <v>330</v>
      </c>
      <c r="C242" s="1160">
        <f t="shared" ref="C242:E242" si="66">+C239+C241</f>
        <v>308</v>
      </c>
      <c r="D242" s="1164">
        <f t="shared" si="66"/>
        <v>426</v>
      </c>
      <c r="E242" s="1164">
        <f t="shared" si="66"/>
        <v>352</v>
      </c>
      <c r="F242" s="1558">
        <f>IF(ISERROR(E242/D242),"-",E242/D242)</f>
        <v>0.82629107981220662</v>
      </c>
      <c r="G242" s="60">
        <f>+G239+G241</f>
        <v>345</v>
      </c>
      <c r="H242" s="61">
        <f>+H239+H241</f>
        <v>7</v>
      </c>
      <c r="I242" s="62">
        <f>+I239+I241</f>
        <v>0</v>
      </c>
      <c r="M242" s="3">
        <f>+E242-G242-H242-I242</f>
        <v>0</v>
      </c>
    </row>
  </sheetData>
  <mergeCells count="9">
    <mergeCell ref="A3:I3"/>
    <mergeCell ref="A105:I105"/>
    <mergeCell ref="A211:I211"/>
    <mergeCell ref="A218:I218"/>
    <mergeCell ref="A237:I237"/>
    <mergeCell ref="A6:I6"/>
    <mergeCell ref="A4:I4"/>
    <mergeCell ref="C108:I108"/>
    <mergeCell ref="C9:I9"/>
  </mergeCells>
  <conditionalFormatting sqref="C26:I31 C89:I100 C74:I85 C65:I69 C59:I63 C52:I57 C45:I49 C33:I43 C13:I24 C195:I206 C180:I191 C166:I175 C160:I164 C151:I158 C147:I148 C133:I145 C124:I131 C117:I122 C111:I115">
    <cfRule type="cellIs" dxfId="14" priority="6" stopIfTrue="1" operator="equal">
      <formula>0</formula>
    </cfRule>
  </conditionalFormatting>
  <conditionalFormatting sqref="F59:F63 F52:F57 F45:F49 F33:F43 F13:F24 F195:F206 F180:F191 F166:F175 F160:F164 F151:F158 F147:F148 F133:F145 F124:F131 F117:F122 F111:F115 F26:F31 F89:F100 F74:F85 F65:F69">
    <cfRule type="cellIs" dxfId="13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 melléklet - &amp;P. oldal</oddHeader>
  </headerFooter>
  <rowBreaks count="1" manualBreakCount="1">
    <brk id="104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codeName="Munka25">
    <tabColor rgb="FF00B0F0"/>
    <pageSetUpPr fitToPage="1"/>
  </sheetPr>
  <dimension ref="A1:M42"/>
  <sheetViews>
    <sheetView zoomScaleNormal="100" workbookViewId="0"/>
  </sheetViews>
  <sheetFormatPr defaultRowHeight="12"/>
  <cols>
    <col min="1" max="1" width="4.85546875" style="546" bestFit="1" customWidth="1"/>
    <col min="2" max="2" width="57.5703125" style="148" bestFit="1" customWidth="1"/>
    <col min="3" max="3" width="35.28515625" style="148" customWidth="1"/>
    <col min="4" max="6" width="13.140625" style="148" bestFit="1" customWidth="1"/>
    <col min="7" max="7" width="13.140625" style="1621" bestFit="1" customWidth="1"/>
    <col min="8" max="8" width="9.140625" style="148"/>
    <col min="9" max="12" width="9.140625" style="148" hidden="1" customWidth="1"/>
    <col min="13" max="16384" width="9.140625" style="148"/>
  </cols>
  <sheetData>
    <row r="1" spans="1:13" s="149" customFormat="1" ht="15.75">
      <c r="A1" s="408"/>
      <c r="B1" s="142"/>
      <c r="C1" s="142"/>
      <c r="D1" s="153"/>
      <c r="E1" s="153"/>
      <c r="F1" s="153"/>
      <c r="G1" s="1675" t="s">
        <v>787</v>
      </c>
    </row>
    <row r="2" spans="1:13" s="149" customFormat="1" ht="15.75">
      <c r="A2" s="408"/>
      <c r="B2" s="142"/>
      <c r="C2" s="142"/>
      <c r="D2" s="153"/>
      <c r="E2" s="153"/>
      <c r="F2" s="153"/>
      <c r="G2" s="1678"/>
    </row>
    <row r="3" spans="1:13" s="149" customFormat="1" ht="15.75" customHeight="1">
      <c r="A3" s="1879" t="s">
        <v>354</v>
      </c>
      <c r="B3" s="1879"/>
      <c r="C3" s="1879"/>
      <c r="D3" s="1879"/>
      <c r="E3" s="1879"/>
      <c r="F3" s="1879"/>
      <c r="G3" s="1879"/>
      <c r="H3" s="394"/>
      <c r="I3" s="394"/>
      <c r="J3" s="394"/>
      <c r="K3" s="394"/>
      <c r="L3" s="394"/>
    </row>
    <row r="4" spans="1:13" s="150" customFormat="1" ht="15.75">
      <c r="A4" s="1884" t="s">
        <v>1328</v>
      </c>
      <c r="B4" s="1884"/>
      <c r="C4" s="1884"/>
      <c r="D4" s="1884"/>
      <c r="E4" s="1884"/>
      <c r="F4" s="1884"/>
      <c r="G4" s="1884"/>
    </row>
    <row r="5" spans="1:13" ht="12.75" thickBot="1">
      <c r="A5" s="411"/>
      <c r="B5" s="411"/>
      <c r="C5" s="411"/>
      <c r="D5" s="316"/>
      <c r="E5" s="316"/>
      <c r="F5" s="316"/>
      <c r="G5" s="1677" t="s">
        <v>458</v>
      </c>
    </row>
    <row r="6" spans="1:13" ht="36.75" thickBot="1">
      <c r="A6" s="412" t="s">
        <v>8</v>
      </c>
      <c r="B6" s="421" t="s">
        <v>630</v>
      </c>
      <c r="C6" s="415" t="s">
        <v>631</v>
      </c>
      <c r="D6" s="1101" t="s">
        <v>1553</v>
      </c>
      <c r="E6" s="6" t="s">
        <v>1554</v>
      </c>
      <c r="F6" s="881" t="s">
        <v>2646</v>
      </c>
      <c r="G6" s="1549" t="s">
        <v>2645</v>
      </c>
    </row>
    <row r="7" spans="1:13" s="545" customFormat="1">
      <c r="A7" s="414"/>
      <c r="B7" s="422" t="s">
        <v>0</v>
      </c>
      <c r="C7" s="420"/>
      <c r="D7" s="1263"/>
      <c r="E7" s="1270"/>
      <c r="F7" s="1270"/>
      <c r="G7" s="1682"/>
    </row>
    <row r="8" spans="1:13">
      <c r="A8" s="407" t="s">
        <v>4</v>
      </c>
      <c r="B8" s="423" t="s">
        <v>632</v>
      </c>
      <c r="C8" s="410" t="s">
        <v>2731</v>
      </c>
      <c r="D8" s="1264">
        <f>1000-500</f>
        <v>500</v>
      </c>
      <c r="E8" s="1271">
        <v>850</v>
      </c>
      <c r="F8" s="1271">
        <f>500+(200+150)</f>
        <v>850</v>
      </c>
      <c r="G8" s="1683">
        <f t="shared" ref="G8:G13" si="0">IF(ISERROR(F8/E8),"-",F8/E8)</f>
        <v>1</v>
      </c>
    </row>
    <row r="9" spans="1:13">
      <c r="A9" s="418" t="s">
        <v>5</v>
      </c>
      <c r="B9" s="424" t="s">
        <v>1073</v>
      </c>
      <c r="C9" s="410" t="s">
        <v>633</v>
      </c>
      <c r="D9" s="1265">
        <f>+ROUND(67.5*10744*12/1000,0)</f>
        <v>8703</v>
      </c>
      <c r="E9" s="1272">
        <v>15465</v>
      </c>
      <c r="F9" s="1272">
        <v>15465</v>
      </c>
      <c r="G9" s="1683">
        <f t="shared" si="0"/>
        <v>1</v>
      </c>
    </row>
    <row r="10" spans="1:13">
      <c r="A10" s="418" t="s">
        <v>6</v>
      </c>
      <c r="B10" s="424" t="s">
        <v>2726</v>
      </c>
      <c r="C10" s="410" t="s">
        <v>2728</v>
      </c>
      <c r="D10" s="1265"/>
      <c r="E10" s="1272">
        <v>1300</v>
      </c>
      <c r="F10" s="1272">
        <v>1300</v>
      </c>
      <c r="G10" s="1683">
        <f t="shared" si="0"/>
        <v>1</v>
      </c>
    </row>
    <row r="11" spans="1:13" ht="24">
      <c r="A11" s="418" t="s">
        <v>6</v>
      </c>
      <c r="B11" s="424" t="s">
        <v>2727</v>
      </c>
      <c r="C11" s="1759" t="s">
        <v>2733</v>
      </c>
      <c r="D11" s="1265"/>
      <c r="E11" s="1272">
        <v>19</v>
      </c>
      <c r="F11" s="1272">
        <v>19</v>
      </c>
      <c r="G11" s="1683">
        <f t="shared" ref="G11:G12" si="1">IF(ISERROR(F11/E11),"-",F11/E11)</f>
        <v>1</v>
      </c>
    </row>
    <row r="12" spans="1:13" ht="24">
      <c r="A12" s="418" t="s">
        <v>3</v>
      </c>
      <c r="B12" s="424" t="s">
        <v>2727</v>
      </c>
      <c r="C12" s="1759" t="s">
        <v>2732</v>
      </c>
      <c r="D12" s="1265"/>
      <c r="E12" s="1272">
        <v>181</v>
      </c>
      <c r="F12" s="1272">
        <v>181</v>
      </c>
      <c r="G12" s="1683">
        <f t="shared" si="1"/>
        <v>1</v>
      </c>
    </row>
    <row r="13" spans="1:13" ht="12.75" thickBot="1">
      <c r="A13" s="418" t="s">
        <v>16</v>
      </c>
      <c r="B13" s="424" t="s">
        <v>2729</v>
      </c>
      <c r="C13" s="410" t="s">
        <v>2730</v>
      </c>
      <c r="D13" s="1265"/>
      <c r="E13" s="1272">
        <v>176</v>
      </c>
      <c r="F13" s="1272">
        <v>176</v>
      </c>
      <c r="G13" s="1683">
        <f t="shared" si="0"/>
        <v>1</v>
      </c>
    </row>
    <row r="14" spans="1:13" s="151" customFormat="1" ht="12.75" thickBot="1">
      <c r="A14" s="426" t="s">
        <v>23</v>
      </c>
      <c r="B14" s="429" t="s">
        <v>637</v>
      </c>
      <c r="C14" s="413"/>
      <c r="D14" s="1208">
        <f>SUM(D8:D13)</f>
        <v>9203</v>
      </c>
      <c r="E14" s="177">
        <f>SUM(E8:E13)</f>
        <v>17991</v>
      </c>
      <c r="F14" s="177">
        <f>SUM(F8:F13)</f>
        <v>17991</v>
      </c>
      <c r="G14" s="1616">
        <f>SUM(G8:G13)</f>
        <v>6</v>
      </c>
      <c r="I14" s="547">
        <f>+'1.mell._Össz_Mérleg2019'!D138</f>
        <v>17991</v>
      </c>
      <c r="J14" s="547">
        <f>+E14-I14</f>
        <v>0</v>
      </c>
      <c r="K14" s="547">
        <f>+'1.mell._Össz_Mérleg2019'!E138</f>
        <v>17991</v>
      </c>
      <c r="L14" s="547">
        <f>+F14-K14</f>
        <v>0</v>
      </c>
      <c r="M14" s="148"/>
    </row>
    <row r="15" spans="1:13" s="151" customFormat="1">
      <c r="A15" s="427"/>
      <c r="B15" s="430"/>
      <c r="C15" s="416"/>
      <c r="D15" s="1266"/>
      <c r="E15" s="1273"/>
      <c r="F15" s="1273"/>
      <c r="G15" s="1685"/>
      <c r="I15" s="148"/>
      <c r="J15" s="148"/>
      <c r="K15" s="148"/>
      <c r="L15" s="148"/>
      <c r="M15" s="148"/>
    </row>
    <row r="16" spans="1:13">
      <c r="A16" s="432"/>
      <c r="B16" s="433" t="s">
        <v>1</v>
      </c>
      <c r="C16" s="434"/>
      <c r="D16" s="1267"/>
      <c r="E16" s="804"/>
      <c r="F16" s="804"/>
      <c r="G16" s="1686"/>
    </row>
    <row r="17" spans="1:12">
      <c r="A17" s="407" t="s">
        <v>4</v>
      </c>
      <c r="B17" s="423" t="s">
        <v>634</v>
      </c>
      <c r="C17" s="410" t="s">
        <v>633</v>
      </c>
      <c r="D17" s="1264">
        <f>3850+1150</f>
        <v>5000</v>
      </c>
      <c r="E17" s="1271">
        <f>3850+1150+3000</f>
        <v>8000</v>
      </c>
      <c r="F17" s="1271">
        <v>8000</v>
      </c>
      <c r="G17" s="1683">
        <f t="shared" ref="G17:G32" si="2">IF(ISERROR(F17/E17),"-",F17/E17)</f>
        <v>1</v>
      </c>
    </row>
    <row r="18" spans="1:12">
      <c r="A18" s="407" t="s">
        <v>5</v>
      </c>
      <c r="B18" s="423" t="s">
        <v>635</v>
      </c>
      <c r="C18" s="410" t="s">
        <v>633</v>
      </c>
      <c r="D18" s="1264">
        <f>10450+200</f>
        <v>10650</v>
      </c>
      <c r="E18" s="1271">
        <f>10450+200+167</f>
        <v>10817</v>
      </c>
      <c r="F18" s="1271">
        <v>11022</v>
      </c>
      <c r="G18" s="1683">
        <f t="shared" si="2"/>
        <v>1.0189516501802718</v>
      </c>
    </row>
    <row r="19" spans="1:12">
      <c r="A19" s="407" t="s">
        <v>6</v>
      </c>
      <c r="B19" s="425" t="s">
        <v>1182</v>
      </c>
      <c r="C19" s="410" t="s">
        <v>633</v>
      </c>
      <c r="D19" s="1264">
        <v>350</v>
      </c>
      <c r="E19" s="1271">
        <v>350</v>
      </c>
      <c r="F19" s="1271">
        <f>350+150</f>
        <v>500</v>
      </c>
      <c r="G19" s="1683">
        <f t="shared" si="2"/>
        <v>1.4285714285714286</v>
      </c>
    </row>
    <row r="20" spans="1:12">
      <c r="A20" s="407" t="s">
        <v>3</v>
      </c>
      <c r="B20" s="846" t="s">
        <v>1456</v>
      </c>
      <c r="C20" s="410" t="s">
        <v>1457</v>
      </c>
      <c r="D20" s="1264">
        <f>1650-1650</f>
        <v>0</v>
      </c>
      <c r="E20" s="1271">
        <f>1650-1650</f>
        <v>0</v>
      </c>
      <c r="F20" s="1271"/>
      <c r="G20" s="1683" t="str">
        <f t="shared" si="2"/>
        <v>-</v>
      </c>
    </row>
    <row r="21" spans="1:12">
      <c r="A21" s="407" t="s">
        <v>16</v>
      </c>
      <c r="B21" s="423" t="s">
        <v>987</v>
      </c>
      <c r="C21" s="410" t="s">
        <v>633</v>
      </c>
      <c r="D21" s="1264">
        <f>15000+10000</f>
        <v>25000</v>
      </c>
      <c r="E21" s="1271">
        <f>15000+10000</f>
        <v>25000</v>
      </c>
      <c r="F21" s="1271">
        <v>16500</v>
      </c>
      <c r="G21" s="1683">
        <f t="shared" si="2"/>
        <v>0.66</v>
      </c>
    </row>
    <row r="22" spans="1:12">
      <c r="A22" s="407" t="s">
        <v>15</v>
      </c>
      <c r="B22" s="423" t="s">
        <v>1074</v>
      </c>
      <c r="C22" s="410" t="s">
        <v>633</v>
      </c>
      <c r="D22" s="1264">
        <f>11000-3000</f>
        <v>8000</v>
      </c>
      <c r="E22" s="1271">
        <f>11000-3000</f>
        <v>8000</v>
      </c>
      <c r="F22" s="1271">
        <v>7000</v>
      </c>
      <c r="G22" s="1683">
        <f t="shared" si="2"/>
        <v>0.875</v>
      </c>
    </row>
    <row r="23" spans="1:12">
      <c r="A23" s="407" t="s">
        <v>14</v>
      </c>
      <c r="B23" s="423" t="s">
        <v>1187</v>
      </c>
      <c r="C23" s="410" t="s">
        <v>633</v>
      </c>
      <c r="D23" s="1264">
        <v>400</v>
      </c>
      <c r="E23" s="1271">
        <v>400</v>
      </c>
      <c r="F23" s="1271"/>
      <c r="G23" s="1683">
        <f t="shared" si="2"/>
        <v>0</v>
      </c>
    </row>
    <row r="24" spans="1:12">
      <c r="A24" s="407" t="s">
        <v>13</v>
      </c>
      <c r="B24" s="423" t="s">
        <v>1185</v>
      </c>
      <c r="C24" s="410" t="s">
        <v>1186</v>
      </c>
      <c r="D24" s="1264">
        <v>200</v>
      </c>
      <c r="E24" s="1271">
        <v>200</v>
      </c>
      <c r="F24" s="1271">
        <v>200</v>
      </c>
      <c r="G24" s="1683">
        <f t="shared" si="2"/>
        <v>1</v>
      </c>
    </row>
    <row r="25" spans="1:12">
      <c r="A25" s="407" t="s">
        <v>12</v>
      </c>
      <c r="B25" s="423" t="s">
        <v>1249</v>
      </c>
      <c r="C25" s="410" t="s">
        <v>633</v>
      </c>
      <c r="D25" s="1264">
        <v>300</v>
      </c>
      <c r="E25" s="1271">
        <f>300-300</f>
        <v>0</v>
      </c>
      <c r="F25" s="1271"/>
      <c r="G25" s="1683" t="str">
        <f t="shared" si="2"/>
        <v>-</v>
      </c>
    </row>
    <row r="26" spans="1:12">
      <c r="A26" s="407" t="s">
        <v>11</v>
      </c>
      <c r="B26" s="423" t="s">
        <v>1458</v>
      </c>
      <c r="C26" s="410" t="s">
        <v>633</v>
      </c>
      <c r="D26" s="1264">
        <v>500</v>
      </c>
      <c r="E26" s="1271">
        <f>500-500</f>
        <v>0</v>
      </c>
      <c r="F26" s="1271"/>
      <c r="G26" s="1681" t="str">
        <f t="shared" si="2"/>
        <v>-</v>
      </c>
    </row>
    <row r="27" spans="1:12">
      <c r="A27" s="407" t="s">
        <v>10</v>
      </c>
      <c r="B27" s="423" t="s">
        <v>1485</v>
      </c>
      <c r="C27" s="410" t="s">
        <v>633</v>
      </c>
      <c r="D27" s="1264">
        <f>0+300</f>
        <v>300</v>
      </c>
      <c r="E27" s="1271">
        <f>0+300-150</f>
        <v>150</v>
      </c>
      <c r="F27" s="1271">
        <v>150</v>
      </c>
      <c r="G27" s="1684">
        <f t="shared" si="2"/>
        <v>1</v>
      </c>
    </row>
    <row r="28" spans="1:12">
      <c r="A28" s="407" t="s">
        <v>9</v>
      </c>
      <c r="B28" s="423" t="s">
        <v>1569</v>
      </c>
      <c r="C28" s="410" t="s">
        <v>633</v>
      </c>
      <c r="D28" s="1264"/>
      <c r="E28" s="1271">
        <v>550</v>
      </c>
      <c r="F28" s="1271">
        <v>550</v>
      </c>
      <c r="G28" s="1684">
        <f t="shared" ref="G28:G31" si="3">IF(ISERROR(F28/E28),"-",F28/E28)</f>
        <v>1</v>
      </c>
    </row>
    <row r="29" spans="1:12">
      <c r="A29" s="407" t="s">
        <v>45</v>
      </c>
      <c r="B29" s="423" t="s">
        <v>2737</v>
      </c>
      <c r="C29" s="410" t="s">
        <v>2735</v>
      </c>
      <c r="D29" s="1264"/>
      <c r="E29" s="1271">
        <v>275</v>
      </c>
      <c r="F29" s="1271">
        <v>275</v>
      </c>
      <c r="G29" s="1684">
        <f t="shared" ref="G29" si="4">IF(ISERROR(F29/E29),"-",F29/E29)</f>
        <v>1</v>
      </c>
    </row>
    <row r="30" spans="1:12">
      <c r="A30" s="407" t="s">
        <v>44</v>
      </c>
      <c r="B30" s="1760" t="s">
        <v>2734</v>
      </c>
      <c r="C30" s="410" t="s">
        <v>2735</v>
      </c>
      <c r="D30" s="1264"/>
      <c r="E30" s="1271">
        <v>600</v>
      </c>
      <c r="F30" s="1271">
        <v>600</v>
      </c>
      <c r="G30" s="1684">
        <f t="shared" si="3"/>
        <v>1</v>
      </c>
    </row>
    <row r="31" spans="1:12" ht="12.75" thickBot="1">
      <c r="A31" s="407" t="s">
        <v>43</v>
      </c>
      <c r="B31" s="1760" t="s">
        <v>2736</v>
      </c>
      <c r="C31" s="410" t="s">
        <v>2735</v>
      </c>
      <c r="D31" s="1264"/>
      <c r="E31" s="1271">
        <v>7500</v>
      </c>
      <c r="F31" s="1271">
        <f>6600+900</f>
        <v>7500</v>
      </c>
      <c r="G31" s="1684">
        <f t="shared" si="3"/>
        <v>1</v>
      </c>
    </row>
    <row r="32" spans="1:12" ht="12.75" thickBot="1">
      <c r="A32" s="428" t="s">
        <v>22</v>
      </c>
      <c r="B32" s="429" t="s">
        <v>636</v>
      </c>
      <c r="C32" s="413"/>
      <c r="D32" s="1208">
        <f>SUM(D17:D31)</f>
        <v>50700</v>
      </c>
      <c r="E32" s="177">
        <f>SUM(E17:E31)</f>
        <v>61842</v>
      </c>
      <c r="F32" s="177">
        <f>SUM(F17:F31)</f>
        <v>52297</v>
      </c>
      <c r="G32" s="1616">
        <f t="shared" si="2"/>
        <v>0.84565505643413863</v>
      </c>
      <c r="I32" s="547">
        <f>+'1.mell._Össz_Mérleg2019'!D145</f>
        <v>61842</v>
      </c>
      <c r="J32" s="547">
        <f>+E32-I32</f>
        <v>0</v>
      </c>
      <c r="K32" s="547">
        <f>+'1.mell._Össz_Mérleg2019'!E145</f>
        <v>52297</v>
      </c>
      <c r="L32" s="547">
        <f>+F32-K32</f>
        <v>0</v>
      </c>
    </row>
    <row r="33" spans="1:13" s="151" customFormat="1">
      <c r="A33" s="427"/>
      <c r="B33" s="430"/>
      <c r="C33" s="416"/>
      <c r="D33" s="1266"/>
      <c r="E33" s="1273"/>
      <c r="F33" s="1273"/>
      <c r="G33" s="1685"/>
      <c r="I33" s="148"/>
      <c r="J33" s="148"/>
      <c r="K33" s="148"/>
      <c r="L33" s="148"/>
      <c r="M33" s="148"/>
    </row>
    <row r="34" spans="1:13">
      <c r="A34" s="414"/>
      <c r="B34" s="422" t="s">
        <v>2</v>
      </c>
      <c r="C34" s="417"/>
      <c r="D34" s="1268"/>
      <c r="E34" s="1274"/>
      <c r="F34" s="1274"/>
      <c r="G34" s="1682"/>
    </row>
    <row r="35" spans="1:13" ht="12.75" thickBot="1">
      <c r="A35" s="756" t="s">
        <v>4</v>
      </c>
      <c r="B35" s="757" t="s">
        <v>19</v>
      </c>
      <c r="C35" s="410"/>
      <c r="D35" s="1264"/>
      <c r="E35" s="1271"/>
      <c r="F35" s="1271"/>
      <c r="G35" s="1684" t="str">
        <f t="shared" ref="G35:G36" si="5">IF(ISERROR(F35/E35),"-",F35/E35)</f>
        <v>-</v>
      </c>
    </row>
    <row r="36" spans="1:13" ht="12.75" thickBot="1">
      <c r="A36" s="426" t="s">
        <v>21</v>
      </c>
      <c r="B36" s="429" t="s">
        <v>638</v>
      </c>
      <c r="C36" s="413"/>
      <c r="D36" s="1208">
        <f>SUM(D35)</f>
        <v>0</v>
      </c>
      <c r="E36" s="177">
        <f>SUM(E35)</f>
        <v>0</v>
      </c>
      <c r="F36" s="177">
        <f>SUM(F35)</f>
        <v>0</v>
      </c>
      <c r="G36" s="1616" t="str">
        <f t="shared" si="5"/>
        <v>-</v>
      </c>
      <c r="I36" s="547">
        <f>+'1.mell._Össz_Mérleg2019'!D169</f>
        <v>0</v>
      </c>
      <c r="J36" s="547">
        <f>+E36-I36</f>
        <v>0</v>
      </c>
      <c r="K36" s="547">
        <f>+'1.mell._Össz_Mérleg2019'!E169</f>
        <v>0</v>
      </c>
      <c r="L36" s="547">
        <f>+F36-K36</f>
        <v>0</v>
      </c>
    </row>
    <row r="37" spans="1:13">
      <c r="A37" s="436"/>
      <c r="B37" s="430"/>
      <c r="C37" s="416"/>
      <c r="D37" s="1266"/>
      <c r="E37" s="1273"/>
      <c r="F37" s="1273"/>
      <c r="G37" s="1685"/>
    </row>
    <row r="38" spans="1:13">
      <c r="A38" s="432"/>
      <c r="B38" s="433" t="s">
        <v>639</v>
      </c>
      <c r="C38" s="434"/>
      <c r="D38" s="1267"/>
      <c r="E38" s="804"/>
      <c r="F38" s="804"/>
      <c r="G38" s="1686"/>
    </row>
    <row r="39" spans="1:13" ht="12.75" thickBot="1">
      <c r="A39" s="419" t="s">
        <v>4</v>
      </c>
      <c r="B39" s="409" t="s">
        <v>2738</v>
      </c>
      <c r="C39" s="431" t="s">
        <v>2739</v>
      </c>
      <c r="D39" s="1269"/>
      <c r="E39" s="1275">
        <v>18</v>
      </c>
      <c r="F39" s="1275">
        <v>18</v>
      </c>
      <c r="G39" s="1684">
        <f t="shared" ref="G39:G40" si="6">IF(ISERROR(F39/E39),"-",F39/E39)</f>
        <v>1</v>
      </c>
    </row>
    <row r="40" spans="1:13" ht="12.75" thickBot="1">
      <c r="A40" s="428" t="s">
        <v>20</v>
      </c>
      <c r="B40" s="429" t="s">
        <v>640</v>
      </c>
      <c r="C40" s="413"/>
      <c r="D40" s="1208">
        <f>SUM(D39)</f>
        <v>0</v>
      </c>
      <c r="E40" s="177">
        <f>SUM(E39)</f>
        <v>18</v>
      </c>
      <c r="F40" s="177">
        <f>SUM(F39)</f>
        <v>18</v>
      </c>
      <c r="G40" s="1616">
        <f t="shared" si="6"/>
        <v>1</v>
      </c>
      <c r="I40" s="547">
        <f>+'1.mell._Össz_Mérleg2019'!D175</f>
        <v>18</v>
      </c>
      <c r="J40" s="547">
        <f>+E40-I40</f>
        <v>0</v>
      </c>
      <c r="K40" s="547">
        <f>+'1.mell._Össz_Mérleg2019'!E175</f>
        <v>18</v>
      </c>
      <c r="L40" s="547">
        <f>+F40-K40</f>
        <v>0</v>
      </c>
    </row>
    <row r="42" spans="1:13">
      <c r="A42" s="794" t="s">
        <v>1188</v>
      </c>
    </row>
  </sheetData>
  <mergeCells count="2">
    <mergeCell ref="A4:G4"/>
    <mergeCell ref="A3:G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Munka26">
    <tabColor rgb="FF00B0F0"/>
  </sheetPr>
  <dimension ref="A1:BF327"/>
  <sheetViews>
    <sheetView zoomScaleNormal="100" workbookViewId="0"/>
  </sheetViews>
  <sheetFormatPr defaultColWidth="10.5703125" defaultRowHeight="12"/>
  <cols>
    <col min="1" max="1" width="5.42578125" style="482" bestFit="1" customWidth="1"/>
    <col min="2" max="2" width="3.7109375" style="1768" hidden="1" customWidth="1"/>
    <col min="3" max="3" width="7.85546875" style="831" customWidth="1"/>
    <col min="4" max="4" width="78.42578125" style="439" customWidth="1"/>
    <col min="5" max="5" width="10.5703125" style="826" customWidth="1"/>
    <col min="6" max="6" width="65.28515625" style="259" customWidth="1"/>
    <col min="7" max="9" width="10.85546875" style="440" customWidth="1"/>
    <col min="10" max="10" width="10.85546875" style="1688" customWidth="1"/>
    <col min="11" max="13" width="10.85546875" style="441" customWidth="1"/>
    <col min="14" max="14" width="10.85546875" style="1688" customWidth="1"/>
    <col min="15" max="17" width="10.85546875" style="259" customWidth="1"/>
    <col min="18" max="18" width="10.85546875" style="1698" customWidth="1"/>
    <col min="19" max="21" width="11.42578125" style="259" customWidth="1"/>
    <col min="22" max="22" width="10.85546875" style="1698" customWidth="1"/>
    <col min="23" max="25" width="10.85546875" style="259" customWidth="1"/>
    <col min="26" max="26" width="10.85546875" style="1698" customWidth="1"/>
    <col min="27" max="29" width="11.28515625" style="259" customWidth="1"/>
    <col min="30" max="30" width="10.85546875" style="1698" customWidth="1"/>
    <col min="31" max="33" width="10.85546875" style="440" customWidth="1"/>
    <col min="34" max="34" width="10.85546875" style="1688" customWidth="1"/>
    <col min="35" max="37" width="10.85546875" style="259" customWidth="1"/>
    <col min="38" max="38" width="10.85546875" style="1698" customWidth="1"/>
    <col min="39" max="41" width="10.85546875" style="259" customWidth="1"/>
    <col min="42" max="42" width="10.85546875" style="1698" customWidth="1"/>
    <col min="43" max="45" width="11.28515625" style="259" customWidth="1"/>
    <col min="46" max="46" width="10.85546875" style="1698" customWidth="1"/>
    <col min="47" max="51" width="10.85546875" style="259" customWidth="1"/>
    <col min="52" max="16384" width="10.5703125" style="259"/>
  </cols>
  <sheetData>
    <row r="1" spans="1:51" s="257" customFormat="1" ht="15.75">
      <c r="A1" s="481"/>
      <c r="B1" s="258"/>
      <c r="C1" s="830"/>
      <c r="D1" s="474"/>
      <c r="E1" s="825"/>
      <c r="G1" s="437"/>
      <c r="H1" s="437"/>
      <c r="I1" s="437"/>
      <c r="J1" s="1687"/>
      <c r="K1" s="475"/>
      <c r="L1" s="475"/>
      <c r="M1" s="475"/>
      <c r="N1" s="1687"/>
      <c r="R1" s="1671"/>
      <c r="V1" s="1671"/>
      <c r="Z1" s="1671"/>
      <c r="AD1" s="1671"/>
      <c r="AE1" s="437"/>
      <c r="AF1" s="437"/>
      <c r="AG1" s="437"/>
      <c r="AH1" s="1687"/>
      <c r="AL1" s="1671"/>
      <c r="AP1" s="1671"/>
      <c r="AT1" s="1671"/>
      <c r="AU1" s="153"/>
      <c r="AV1" s="153"/>
      <c r="AW1" s="153"/>
      <c r="AX1" s="153" t="s">
        <v>749</v>
      </c>
      <c r="AY1" s="153"/>
    </row>
    <row r="2" spans="1:51" s="257" customFormat="1" ht="15.75">
      <c r="A2" s="481"/>
      <c r="B2" s="258"/>
      <c r="C2" s="830"/>
      <c r="D2" s="474"/>
      <c r="E2" s="825"/>
      <c r="G2" s="437"/>
      <c r="H2" s="437"/>
      <c r="I2" s="437"/>
      <c r="J2" s="1687"/>
      <c r="K2" s="475"/>
      <c r="L2" s="475"/>
      <c r="M2" s="475"/>
      <c r="N2" s="1687"/>
      <c r="R2" s="1671"/>
      <c r="V2" s="1671"/>
      <c r="Z2" s="1671"/>
      <c r="AA2" s="438"/>
      <c r="AB2" s="438"/>
      <c r="AC2" s="438"/>
      <c r="AD2" s="1671"/>
      <c r="AE2" s="437"/>
      <c r="AF2" s="437"/>
      <c r="AG2" s="437"/>
      <c r="AH2" s="1687"/>
      <c r="AL2" s="1671"/>
      <c r="AP2" s="1671"/>
      <c r="AQ2" s="438"/>
      <c r="AR2" s="438"/>
      <c r="AS2" s="438"/>
      <c r="AT2" s="1671"/>
      <c r="AU2" s="438"/>
      <c r="AV2" s="438"/>
      <c r="AW2" s="438"/>
      <c r="AX2" s="438"/>
      <c r="AY2" s="438"/>
    </row>
    <row r="3" spans="1:51" s="257" customFormat="1" ht="15.75" customHeight="1">
      <c r="A3" s="1819" t="s">
        <v>775</v>
      </c>
      <c r="B3" s="1819"/>
      <c r="C3" s="1819"/>
      <c r="D3" s="1819"/>
      <c r="E3" s="1819"/>
      <c r="F3" s="1819"/>
      <c r="G3" s="1819"/>
      <c r="H3" s="1819"/>
      <c r="I3" s="1819"/>
      <c r="J3" s="1819"/>
      <c r="K3" s="1819"/>
      <c r="L3" s="1819"/>
      <c r="M3" s="1819"/>
      <c r="N3" s="1819"/>
      <c r="O3" s="1819"/>
      <c r="P3" s="1819"/>
      <c r="Q3" s="1819"/>
      <c r="R3" s="1819"/>
      <c r="S3" s="1819"/>
      <c r="T3" s="1819"/>
      <c r="U3" s="1819"/>
      <c r="V3" s="1819"/>
      <c r="W3" s="1819"/>
      <c r="X3" s="1819"/>
      <c r="Y3" s="1819"/>
      <c r="Z3" s="1819"/>
      <c r="AA3" s="1819"/>
      <c r="AB3" s="1819"/>
      <c r="AC3" s="1819"/>
      <c r="AD3" s="1819"/>
      <c r="AE3" s="1819"/>
      <c r="AF3" s="1819"/>
      <c r="AG3" s="1819"/>
      <c r="AH3" s="1819"/>
      <c r="AI3" s="1819"/>
      <c r="AJ3" s="1819"/>
      <c r="AK3" s="1819"/>
      <c r="AL3" s="1819"/>
      <c r="AM3" s="1819"/>
      <c r="AN3" s="1819"/>
      <c r="AO3" s="1819"/>
      <c r="AP3" s="1819"/>
      <c r="AQ3" s="1819"/>
      <c r="AR3" s="1819"/>
      <c r="AS3" s="1819"/>
      <c r="AT3" s="1819"/>
      <c r="AU3" s="1819"/>
      <c r="AV3" s="1819"/>
      <c r="AW3" s="1819"/>
      <c r="AX3" s="1819"/>
      <c r="AY3" s="1766"/>
    </row>
    <row r="4" spans="1:51" ht="12.75" thickBot="1">
      <c r="AA4" s="203"/>
      <c r="AB4" s="203"/>
      <c r="AC4" s="203"/>
      <c r="AQ4" s="203"/>
      <c r="AR4" s="203"/>
      <c r="AS4" s="203"/>
      <c r="AT4" s="203" t="s">
        <v>458</v>
      </c>
      <c r="AU4" s="442"/>
      <c r="AV4" s="442"/>
      <c r="AW4" s="442"/>
      <c r="AX4" s="442"/>
      <c r="AY4" s="442"/>
    </row>
    <row r="5" spans="1:51" s="444" customFormat="1" ht="12.75" customHeight="1" thickBot="1">
      <c r="A5" s="1888" t="s">
        <v>17</v>
      </c>
      <c r="B5" s="1918" t="s">
        <v>1050</v>
      </c>
      <c r="C5" s="1909" t="s">
        <v>768</v>
      </c>
      <c r="D5" s="1912" t="s">
        <v>767</v>
      </c>
      <c r="E5" s="1891" t="s">
        <v>751</v>
      </c>
      <c r="F5" s="1915" t="s">
        <v>750</v>
      </c>
      <c r="G5" s="1918" t="s">
        <v>1306</v>
      </c>
      <c r="H5" s="1921"/>
      <c r="I5" s="1921"/>
      <c r="J5" s="1922"/>
      <c r="K5" s="1918" t="s">
        <v>1329</v>
      </c>
      <c r="L5" s="1921"/>
      <c r="M5" s="1921"/>
      <c r="N5" s="1922"/>
      <c r="O5" s="1896" t="s">
        <v>752</v>
      </c>
      <c r="P5" s="1894"/>
      <c r="Q5" s="1894"/>
      <c r="R5" s="1894"/>
      <c r="S5" s="1894"/>
      <c r="T5" s="1894"/>
      <c r="U5" s="1894"/>
      <c r="V5" s="1894"/>
      <c r="W5" s="1894"/>
      <c r="X5" s="1894"/>
      <c r="Y5" s="1894"/>
      <c r="Z5" s="1894"/>
      <c r="AA5" s="1894"/>
      <c r="AB5" s="1894"/>
      <c r="AC5" s="1894"/>
      <c r="AD5" s="1895"/>
      <c r="AE5" s="1918" t="s">
        <v>1330</v>
      </c>
      <c r="AF5" s="1921"/>
      <c r="AG5" s="1921"/>
      <c r="AH5" s="1922"/>
      <c r="AI5" s="1896" t="s">
        <v>752</v>
      </c>
      <c r="AJ5" s="1894"/>
      <c r="AK5" s="1894"/>
      <c r="AL5" s="1894"/>
      <c r="AM5" s="1894"/>
      <c r="AN5" s="1894"/>
      <c r="AO5" s="1894"/>
      <c r="AP5" s="1894"/>
      <c r="AQ5" s="1894"/>
      <c r="AR5" s="1894"/>
      <c r="AS5" s="1894"/>
      <c r="AT5" s="1895"/>
      <c r="AU5" s="443"/>
      <c r="AV5" s="443"/>
      <c r="AW5" s="443"/>
      <c r="AX5" s="443"/>
      <c r="AY5" s="443"/>
    </row>
    <row r="6" spans="1:51" s="444" customFormat="1" ht="12.75" customHeight="1" thickBot="1">
      <c r="A6" s="1889"/>
      <c r="B6" s="1919"/>
      <c r="C6" s="1910"/>
      <c r="D6" s="1913"/>
      <c r="E6" s="1892"/>
      <c r="F6" s="1916"/>
      <c r="G6" s="1919"/>
      <c r="H6" s="1923"/>
      <c r="I6" s="1923"/>
      <c r="J6" s="1924"/>
      <c r="K6" s="1919"/>
      <c r="L6" s="1923"/>
      <c r="M6" s="1923"/>
      <c r="N6" s="1924"/>
      <c r="O6" s="1897" t="s">
        <v>769</v>
      </c>
      <c r="P6" s="1898"/>
      <c r="Q6" s="1898"/>
      <c r="R6" s="1899"/>
      <c r="S6" s="1897" t="s">
        <v>526</v>
      </c>
      <c r="T6" s="1898"/>
      <c r="U6" s="1898"/>
      <c r="V6" s="1899"/>
      <c r="W6" s="1897" t="s">
        <v>770</v>
      </c>
      <c r="X6" s="1898"/>
      <c r="Y6" s="1898"/>
      <c r="Z6" s="1899"/>
      <c r="AA6" s="1897" t="s">
        <v>771</v>
      </c>
      <c r="AB6" s="1898"/>
      <c r="AC6" s="1898"/>
      <c r="AD6" s="1899"/>
      <c r="AE6" s="1919"/>
      <c r="AF6" s="1923"/>
      <c r="AG6" s="1923"/>
      <c r="AH6" s="1924"/>
      <c r="AI6" s="1897" t="s">
        <v>533</v>
      </c>
      <c r="AJ6" s="1898"/>
      <c r="AK6" s="1898"/>
      <c r="AL6" s="1899"/>
      <c r="AM6" s="1897" t="s">
        <v>534</v>
      </c>
      <c r="AN6" s="1898"/>
      <c r="AO6" s="1898"/>
      <c r="AP6" s="1899"/>
      <c r="AQ6" s="1897" t="s">
        <v>535</v>
      </c>
      <c r="AR6" s="1898"/>
      <c r="AS6" s="1898"/>
      <c r="AT6" s="1899"/>
      <c r="AU6" s="443"/>
      <c r="AV6" s="443"/>
      <c r="AW6" s="443"/>
      <c r="AX6" s="443"/>
      <c r="AY6" s="443"/>
    </row>
    <row r="7" spans="1:51" s="444" customFormat="1" ht="36.75" thickBot="1">
      <c r="A7" s="1890"/>
      <c r="B7" s="1920"/>
      <c r="C7" s="1911"/>
      <c r="D7" s="1914"/>
      <c r="E7" s="1893"/>
      <c r="F7" s="1917"/>
      <c r="G7" s="1288" t="s">
        <v>1553</v>
      </c>
      <c r="H7" s="1289" t="s">
        <v>1554</v>
      </c>
      <c r="I7" s="6" t="s">
        <v>2646</v>
      </c>
      <c r="J7" s="1549" t="s">
        <v>2645</v>
      </c>
      <c r="K7" s="1288" t="s">
        <v>1553</v>
      </c>
      <c r="L7" s="1289" t="s">
        <v>1554</v>
      </c>
      <c r="M7" s="6" t="s">
        <v>2646</v>
      </c>
      <c r="N7" s="1549" t="s">
        <v>2645</v>
      </c>
      <c r="O7" s="1288" t="s">
        <v>1553</v>
      </c>
      <c r="P7" s="1289" t="s">
        <v>1554</v>
      </c>
      <c r="Q7" s="6" t="s">
        <v>2646</v>
      </c>
      <c r="R7" s="1549" t="s">
        <v>2645</v>
      </c>
      <c r="S7" s="1288" t="s">
        <v>1553</v>
      </c>
      <c r="T7" s="1289" t="s">
        <v>1554</v>
      </c>
      <c r="U7" s="6" t="s">
        <v>2646</v>
      </c>
      <c r="V7" s="1549" t="s">
        <v>2645</v>
      </c>
      <c r="W7" s="1288" t="s">
        <v>1553</v>
      </c>
      <c r="X7" s="1289" t="s">
        <v>1554</v>
      </c>
      <c r="Y7" s="6" t="s">
        <v>2646</v>
      </c>
      <c r="Z7" s="1549" t="s">
        <v>2645</v>
      </c>
      <c r="AA7" s="1288" t="s">
        <v>1553</v>
      </c>
      <c r="AB7" s="1289" t="s">
        <v>1554</v>
      </c>
      <c r="AC7" s="6" t="s">
        <v>2646</v>
      </c>
      <c r="AD7" s="1549" t="s">
        <v>2645</v>
      </c>
      <c r="AE7" s="1288" t="s">
        <v>1553</v>
      </c>
      <c r="AF7" s="1289" t="s">
        <v>1554</v>
      </c>
      <c r="AG7" s="6" t="s">
        <v>2646</v>
      </c>
      <c r="AH7" s="1549" t="s">
        <v>2645</v>
      </c>
      <c r="AI7" s="1288" t="s">
        <v>1553</v>
      </c>
      <c r="AJ7" s="1289" t="s">
        <v>1554</v>
      </c>
      <c r="AK7" s="6" t="s">
        <v>2646</v>
      </c>
      <c r="AL7" s="1549" t="s">
        <v>2645</v>
      </c>
      <c r="AM7" s="1288" t="s">
        <v>1553</v>
      </c>
      <c r="AN7" s="1289" t="s">
        <v>1554</v>
      </c>
      <c r="AO7" s="6" t="s">
        <v>2646</v>
      </c>
      <c r="AP7" s="1549" t="s">
        <v>2645</v>
      </c>
      <c r="AQ7" s="1288" t="s">
        <v>1553</v>
      </c>
      <c r="AR7" s="1289" t="s">
        <v>1554</v>
      </c>
      <c r="AS7" s="6" t="s">
        <v>2646</v>
      </c>
      <c r="AT7" s="1549" t="s">
        <v>2645</v>
      </c>
      <c r="AU7" s="445"/>
      <c r="AV7" s="445"/>
      <c r="AW7" s="445"/>
      <c r="AX7" s="445"/>
      <c r="AY7" s="445"/>
    </row>
    <row r="8" spans="1:51" s="444" customFormat="1">
      <c r="A8" s="483">
        <v>1</v>
      </c>
      <c r="B8" s="1780">
        <v>1</v>
      </c>
      <c r="C8" s="1057" t="s">
        <v>676</v>
      </c>
      <c r="D8" s="854" t="s">
        <v>675</v>
      </c>
      <c r="E8" s="1058">
        <v>999000</v>
      </c>
      <c r="F8" s="855" t="s">
        <v>415</v>
      </c>
      <c r="G8" s="1276">
        <f t="shared" ref="G8:G39" si="0">+K8+AE8</f>
        <v>0</v>
      </c>
      <c r="H8" s="1277">
        <f t="shared" ref="H8:H39" si="1">+L8+AF8</f>
        <v>0</v>
      </c>
      <c r="I8" s="1277">
        <f t="shared" ref="I8:I39" si="2">+M8+AG8</f>
        <v>0</v>
      </c>
      <c r="J8" s="1689" t="str">
        <f t="shared" ref="J8:J71" si="3">IF(ISERROR(I8/H8),"-",I8/H8)</f>
        <v>-</v>
      </c>
      <c r="K8" s="1276">
        <f t="shared" ref="K8:K39" si="4">+O8+S8+W8+AA8</f>
        <v>0</v>
      </c>
      <c r="L8" s="1277">
        <f t="shared" ref="L8:L39" si="5">+P8+T8+X8+AB8</f>
        <v>0</v>
      </c>
      <c r="M8" s="1277">
        <f t="shared" ref="M8:M39" si="6">+Q8+U8+Y8+AC8</f>
        <v>0</v>
      </c>
      <c r="N8" s="1689" t="str">
        <f t="shared" ref="N8:N71" si="7">IF(ISERROR(M8/L8),"-",M8/L8)</f>
        <v>-</v>
      </c>
      <c r="O8" s="1047"/>
      <c r="P8" s="1048"/>
      <c r="Q8" s="1048"/>
      <c r="R8" s="1699" t="str">
        <f t="shared" ref="R8:R71" si="8">IF(ISERROR(Q8/P8),"-",Q8/P8)</f>
        <v>-</v>
      </c>
      <c r="S8" s="1047"/>
      <c r="T8" s="1048"/>
      <c r="U8" s="1048"/>
      <c r="V8" s="1699" t="str">
        <f t="shared" ref="V8:V71" si="9">IF(ISERROR(U8/T8),"-",U8/T8)</f>
        <v>-</v>
      </c>
      <c r="W8" s="1047"/>
      <c r="X8" s="1048"/>
      <c r="Y8" s="1048"/>
      <c r="Z8" s="1699" t="str">
        <f t="shared" ref="Z8:Z71" si="10">IF(ISERROR(Y8/X8),"-",Y8/X8)</f>
        <v>-</v>
      </c>
      <c r="AA8" s="1047"/>
      <c r="AB8" s="1048"/>
      <c r="AC8" s="1048"/>
      <c r="AD8" s="1699" t="str">
        <f t="shared" ref="AD8:AD71" si="11">IF(ISERROR(AC8/AB8),"-",AC8/AB8)</f>
        <v>-</v>
      </c>
      <c r="AE8" s="1276">
        <f>+AI8+AM8+AQ8</f>
        <v>0</v>
      </c>
      <c r="AF8" s="1277">
        <f>+AJ8+AN8+AR8</f>
        <v>0</v>
      </c>
      <c r="AG8" s="1277">
        <f>+AK8+AO8+AS8</f>
        <v>0</v>
      </c>
      <c r="AH8" s="1689" t="str">
        <f t="shared" ref="AH8:AH71" si="12">IF(ISERROR(AG8/AF8),"-",AG8/AF8)</f>
        <v>-</v>
      </c>
      <c r="AI8" s="1047"/>
      <c r="AJ8" s="1048"/>
      <c r="AK8" s="1048"/>
      <c r="AL8" s="1699" t="str">
        <f t="shared" ref="AL8:AL71" si="13">IF(ISERROR(AK8/AJ8),"-",AK8/AJ8)</f>
        <v>-</v>
      </c>
      <c r="AM8" s="1047"/>
      <c r="AN8" s="1048"/>
      <c r="AO8" s="1048"/>
      <c r="AP8" s="1699" t="str">
        <f t="shared" ref="AP8:AP71" si="14">IF(ISERROR(AO8/AN8),"-",AO8/AN8)</f>
        <v>-</v>
      </c>
      <c r="AQ8" s="1047"/>
      <c r="AR8" s="1048"/>
      <c r="AS8" s="1048"/>
      <c r="AT8" s="1699" t="str">
        <f t="shared" ref="AT8:AT71" si="15">IF(ISERROR(AS8/AR8),"-",AS8/AR8)</f>
        <v>-</v>
      </c>
      <c r="AU8" s="442"/>
      <c r="AV8" s="442"/>
      <c r="AW8" s="442"/>
      <c r="AX8" s="442"/>
      <c r="AY8" s="442"/>
    </row>
    <row r="9" spans="1:51" s="444" customFormat="1">
      <c r="A9" s="483">
        <f>+A8+1</f>
        <v>2</v>
      </c>
      <c r="B9" s="1781">
        <v>8</v>
      </c>
      <c r="C9" s="1059" t="s">
        <v>676</v>
      </c>
      <c r="D9" s="856" t="s">
        <v>675</v>
      </c>
      <c r="E9" s="1060" t="s">
        <v>1257</v>
      </c>
      <c r="F9" s="857" t="s">
        <v>1004</v>
      </c>
      <c r="G9" s="1276">
        <f t="shared" si="0"/>
        <v>53253</v>
      </c>
      <c r="H9" s="1277">
        <f t="shared" si="1"/>
        <v>91427</v>
      </c>
      <c r="I9" s="1277">
        <f t="shared" si="2"/>
        <v>81620</v>
      </c>
      <c r="J9" s="1689">
        <f t="shared" si="3"/>
        <v>0.89273409386723834</v>
      </c>
      <c r="K9" s="1276">
        <f t="shared" si="4"/>
        <v>53253</v>
      </c>
      <c r="L9" s="1277">
        <f t="shared" si="5"/>
        <v>91412</v>
      </c>
      <c r="M9" s="1277">
        <f t="shared" si="6"/>
        <v>81605</v>
      </c>
      <c r="N9" s="1689">
        <f t="shared" si="7"/>
        <v>0.892716492364241</v>
      </c>
      <c r="O9" s="1047">
        <v>34354</v>
      </c>
      <c r="P9" s="1048">
        <v>7811</v>
      </c>
      <c r="Q9" s="1048">
        <v>7811</v>
      </c>
      <c r="R9" s="1699">
        <f t="shared" si="8"/>
        <v>1</v>
      </c>
      <c r="S9" s="1047"/>
      <c r="T9" s="1048">
        <f>195+2796</f>
        <v>2991</v>
      </c>
      <c r="U9" s="1048">
        <v>195</v>
      </c>
      <c r="V9" s="1699">
        <f t="shared" si="9"/>
        <v>6.5195586760280838E-2</v>
      </c>
      <c r="W9" s="1047">
        <v>13099</v>
      </c>
      <c r="X9" s="1048">
        <f>25798</f>
        <v>25798</v>
      </c>
      <c r="Y9" s="1048">
        <v>25798</v>
      </c>
      <c r="Z9" s="1699">
        <f t="shared" si="10"/>
        <v>1</v>
      </c>
      <c r="AA9" s="1047">
        <v>5800</v>
      </c>
      <c r="AB9" s="1048">
        <v>54812</v>
      </c>
      <c r="AC9" s="1048">
        <v>47801</v>
      </c>
      <c r="AD9" s="1699">
        <f t="shared" si="11"/>
        <v>0.87209005327300593</v>
      </c>
      <c r="AE9" s="1276">
        <f t="shared" ref="AE9:AG80" si="16">+AI9+AM9+AQ9</f>
        <v>0</v>
      </c>
      <c r="AF9" s="1277">
        <f t="shared" si="16"/>
        <v>15</v>
      </c>
      <c r="AG9" s="1277">
        <f t="shared" si="16"/>
        <v>15</v>
      </c>
      <c r="AH9" s="1689">
        <f t="shared" si="12"/>
        <v>1</v>
      </c>
      <c r="AI9" s="1047"/>
      <c r="AJ9" s="1048"/>
      <c r="AK9" s="1048"/>
      <c r="AL9" s="1699" t="str">
        <f t="shared" si="13"/>
        <v>-</v>
      </c>
      <c r="AM9" s="1047"/>
      <c r="AN9" s="1048">
        <v>15</v>
      </c>
      <c r="AO9" s="1048">
        <v>15</v>
      </c>
      <c r="AP9" s="1699">
        <f t="shared" si="14"/>
        <v>1</v>
      </c>
      <c r="AQ9" s="1047"/>
      <c r="AR9" s="1048"/>
      <c r="AS9" s="1048"/>
      <c r="AT9" s="1699" t="str">
        <f t="shared" si="15"/>
        <v>-</v>
      </c>
      <c r="AU9" s="442"/>
      <c r="AV9" s="442"/>
      <c r="AW9" s="442"/>
      <c r="AX9" s="442"/>
      <c r="AY9" s="442"/>
    </row>
    <row r="10" spans="1:51" s="444" customFormat="1">
      <c r="A10" s="483">
        <f t="shared" ref="A10:A87" si="17">+A9+1</f>
        <v>3</v>
      </c>
      <c r="B10" s="1781">
        <v>7</v>
      </c>
      <c r="C10" s="367" t="s">
        <v>2753</v>
      </c>
      <c r="D10" s="856" t="s">
        <v>2752</v>
      </c>
      <c r="E10" s="1060" t="s">
        <v>1257</v>
      </c>
      <c r="F10" s="857" t="s">
        <v>2754</v>
      </c>
      <c r="G10" s="1276">
        <f t="shared" si="0"/>
        <v>0</v>
      </c>
      <c r="H10" s="1277">
        <f t="shared" si="1"/>
        <v>3073</v>
      </c>
      <c r="I10" s="1277">
        <f t="shared" si="2"/>
        <v>3073</v>
      </c>
      <c r="J10" s="1689">
        <f t="shared" si="3"/>
        <v>1</v>
      </c>
      <c r="K10" s="1276">
        <f t="shared" si="4"/>
        <v>0</v>
      </c>
      <c r="L10" s="1277">
        <f t="shared" si="5"/>
        <v>3073</v>
      </c>
      <c r="M10" s="1277">
        <f t="shared" si="6"/>
        <v>3073</v>
      </c>
      <c r="N10" s="1689">
        <f t="shared" si="7"/>
        <v>1</v>
      </c>
      <c r="O10" s="1047"/>
      <c r="P10" s="1048">
        <v>3073</v>
      </c>
      <c r="Q10" s="1048">
        <v>3073</v>
      </c>
      <c r="R10" s="1699">
        <f t="shared" si="8"/>
        <v>1</v>
      </c>
      <c r="S10" s="1047"/>
      <c r="T10" s="1048"/>
      <c r="U10" s="1048"/>
      <c r="V10" s="1699" t="str">
        <f t="shared" si="9"/>
        <v>-</v>
      </c>
      <c r="W10" s="1047"/>
      <c r="X10" s="1048"/>
      <c r="Y10" s="1048"/>
      <c r="Z10" s="1699" t="str">
        <f t="shared" si="10"/>
        <v>-</v>
      </c>
      <c r="AA10" s="1047"/>
      <c r="AB10" s="1048"/>
      <c r="AC10" s="1048"/>
      <c r="AD10" s="1699" t="str">
        <f t="shared" si="11"/>
        <v>-</v>
      </c>
      <c r="AE10" s="1276">
        <f t="shared" si="16"/>
        <v>0</v>
      </c>
      <c r="AF10" s="1277">
        <f t="shared" si="16"/>
        <v>0</v>
      </c>
      <c r="AG10" s="1277">
        <f t="shared" si="16"/>
        <v>0</v>
      </c>
      <c r="AH10" s="1689" t="str">
        <f t="shared" si="12"/>
        <v>-</v>
      </c>
      <c r="AI10" s="1047"/>
      <c r="AJ10" s="1048"/>
      <c r="AK10" s="1048"/>
      <c r="AL10" s="1699" t="str">
        <f t="shared" si="13"/>
        <v>-</v>
      </c>
      <c r="AM10" s="1047"/>
      <c r="AN10" s="1048"/>
      <c r="AO10" s="1048"/>
      <c r="AP10" s="1699" t="str">
        <f t="shared" si="14"/>
        <v>-</v>
      </c>
      <c r="AQ10" s="1047"/>
      <c r="AR10" s="1048"/>
      <c r="AS10" s="1048"/>
      <c r="AT10" s="1699" t="str">
        <f t="shared" si="15"/>
        <v>-</v>
      </c>
      <c r="AU10" s="442"/>
      <c r="AV10" s="442"/>
      <c r="AW10" s="442"/>
      <c r="AX10" s="442"/>
      <c r="AY10" s="442"/>
    </row>
    <row r="11" spans="1:51" s="446" customFormat="1">
      <c r="A11" s="483">
        <f t="shared" si="17"/>
        <v>4</v>
      </c>
      <c r="B11" s="1781">
        <v>8</v>
      </c>
      <c r="C11" s="1059" t="s">
        <v>684</v>
      </c>
      <c r="D11" s="856" t="s">
        <v>862</v>
      </c>
      <c r="E11" s="1060" t="s">
        <v>1257</v>
      </c>
      <c r="F11" s="857" t="s">
        <v>683</v>
      </c>
      <c r="G11" s="1278">
        <f t="shared" si="0"/>
        <v>0</v>
      </c>
      <c r="H11" s="1279">
        <f t="shared" si="1"/>
        <v>0</v>
      </c>
      <c r="I11" s="1279">
        <f t="shared" si="2"/>
        <v>0</v>
      </c>
      <c r="J11" s="1690" t="str">
        <f t="shared" si="3"/>
        <v>-</v>
      </c>
      <c r="K11" s="1278">
        <f t="shared" si="4"/>
        <v>0</v>
      </c>
      <c r="L11" s="1279">
        <f t="shared" si="5"/>
        <v>0</v>
      </c>
      <c r="M11" s="1279">
        <f t="shared" si="6"/>
        <v>0</v>
      </c>
      <c r="N11" s="1690" t="str">
        <f t="shared" si="7"/>
        <v>-</v>
      </c>
      <c r="O11" s="1047"/>
      <c r="P11" s="1048"/>
      <c r="Q11" s="1048"/>
      <c r="R11" s="1699" t="str">
        <f t="shared" si="8"/>
        <v>-</v>
      </c>
      <c r="S11" s="1047"/>
      <c r="T11" s="1048"/>
      <c r="U11" s="1048"/>
      <c r="V11" s="1699" t="str">
        <f t="shared" si="9"/>
        <v>-</v>
      </c>
      <c r="W11" s="1047"/>
      <c r="X11" s="1048"/>
      <c r="Y11" s="1048"/>
      <c r="Z11" s="1699" t="str">
        <f t="shared" si="10"/>
        <v>-</v>
      </c>
      <c r="AA11" s="1047"/>
      <c r="AB11" s="1048"/>
      <c r="AC11" s="1048"/>
      <c r="AD11" s="1699" t="str">
        <f t="shared" si="11"/>
        <v>-</v>
      </c>
      <c r="AE11" s="1278">
        <f t="shared" si="16"/>
        <v>0</v>
      </c>
      <c r="AF11" s="1279">
        <f t="shared" si="16"/>
        <v>0</v>
      </c>
      <c r="AG11" s="1279">
        <f t="shared" si="16"/>
        <v>0</v>
      </c>
      <c r="AH11" s="1690" t="str">
        <f t="shared" si="12"/>
        <v>-</v>
      </c>
      <c r="AI11" s="1047"/>
      <c r="AJ11" s="1048"/>
      <c r="AK11" s="1048"/>
      <c r="AL11" s="1699" t="str">
        <f t="shared" si="13"/>
        <v>-</v>
      </c>
      <c r="AM11" s="1047"/>
      <c r="AN11" s="1048"/>
      <c r="AO11" s="1048"/>
      <c r="AP11" s="1699" t="str">
        <f t="shared" si="14"/>
        <v>-</v>
      </c>
      <c r="AQ11" s="1047"/>
      <c r="AR11" s="1048"/>
      <c r="AS11" s="1048"/>
      <c r="AT11" s="1699" t="str">
        <f t="shared" si="15"/>
        <v>-</v>
      </c>
      <c r="AU11" s="442"/>
      <c r="AV11" s="442"/>
      <c r="AW11" s="442"/>
      <c r="AX11" s="442"/>
      <c r="AY11" s="442"/>
    </row>
    <row r="12" spans="1:51" s="444" customFormat="1">
      <c r="A12" s="483">
        <f t="shared" si="17"/>
        <v>5</v>
      </c>
      <c r="B12" s="1781">
        <v>8</v>
      </c>
      <c r="C12" s="1059" t="s">
        <v>678</v>
      </c>
      <c r="D12" s="856" t="s">
        <v>677</v>
      </c>
      <c r="E12" s="1061" t="s">
        <v>1257</v>
      </c>
      <c r="F12" s="857" t="s">
        <v>643</v>
      </c>
      <c r="G12" s="1280">
        <f t="shared" si="0"/>
        <v>370980</v>
      </c>
      <c r="H12" s="1281">
        <f t="shared" si="1"/>
        <v>535756</v>
      </c>
      <c r="I12" s="1281">
        <f t="shared" si="2"/>
        <v>393807</v>
      </c>
      <c r="J12" s="1668">
        <f t="shared" si="3"/>
        <v>0.73504916417174981</v>
      </c>
      <c r="K12" s="1280">
        <f t="shared" si="4"/>
        <v>370980</v>
      </c>
      <c r="L12" s="1281">
        <f t="shared" si="5"/>
        <v>535756</v>
      </c>
      <c r="M12" s="1281">
        <f t="shared" si="6"/>
        <v>393807</v>
      </c>
      <c r="N12" s="1668">
        <f t="shared" si="7"/>
        <v>0.73504916417174981</v>
      </c>
      <c r="O12" s="1047"/>
      <c r="P12" s="1048"/>
      <c r="Q12" s="1048"/>
      <c r="R12" s="1699" t="str">
        <f t="shared" si="8"/>
        <v>-</v>
      </c>
      <c r="S12" s="1047">
        <v>370980</v>
      </c>
      <c r="T12" s="1048">
        <f>393806+141950</f>
        <v>535756</v>
      </c>
      <c r="U12" s="1048">
        <f>393806+1</f>
        <v>393807</v>
      </c>
      <c r="V12" s="1699">
        <f t="shared" si="9"/>
        <v>0.73504916417174981</v>
      </c>
      <c r="W12" s="1047"/>
      <c r="X12" s="1048"/>
      <c r="Y12" s="1048"/>
      <c r="Z12" s="1699" t="str">
        <f t="shared" si="10"/>
        <v>-</v>
      </c>
      <c r="AA12" s="1047"/>
      <c r="AB12" s="1048"/>
      <c r="AC12" s="1048"/>
      <c r="AD12" s="1699" t="str">
        <f t="shared" si="11"/>
        <v>-</v>
      </c>
      <c r="AE12" s="1280">
        <f>+AI12+AM12+AQ12</f>
        <v>0</v>
      </c>
      <c r="AF12" s="1281">
        <f>+AJ12+AN12+AR12</f>
        <v>0</v>
      </c>
      <c r="AG12" s="1281">
        <f>+AK12+AO12+AS12</f>
        <v>0</v>
      </c>
      <c r="AH12" s="1668" t="str">
        <f t="shared" si="12"/>
        <v>-</v>
      </c>
      <c r="AI12" s="1047"/>
      <c r="AJ12" s="1048"/>
      <c r="AK12" s="1048"/>
      <c r="AL12" s="1699" t="str">
        <f t="shared" si="13"/>
        <v>-</v>
      </c>
      <c r="AM12" s="1047"/>
      <c r="AN12" s="1048"/>
      <c r="AO12" s="1048"/>
      <c r="AP12" s="1699" t="str">
        <f t="shared" si="14"/>
        <v>-</v>
      </c>
      <c r="AQ12" s="1047"/>
      <c r="AR12" s="1048"/>
      <c r="AS12" s="1048"/>
      <c r="AT12" s="1699" t="str">
        <f t="shared" si="15"/>
        <v>-</v>
      </c>
      <c r="AU12" s="442"/>
      <c r="AV12" s="442"/>
      <c r="AW12" s="442"/>
      <c r="AX12" s="442"/>
      <c r="AY12" s="442"/>
    </row>
    <row r="13" spans="1:51" ht="12.75" customHeight="1">
      <c r="A13" s="483">
        <f t="shared" si="17"/>
        <v>6</v>
      </c>
      <c r="B13" s="1781">
        <v>2</v>
      </c>
      <c r="C13" s="1059" t="s">
        <v>727</v>
      </c>
      <c r="D13" s="476" t="s">
        <v>726</v>
      </c>
      <c r="E13" s="1060" t="s">
        <v>1258</v>
      </c>
      <c r="F13" s="858" t="s">
        <v>726</v>
      </c>
      <c r="G13" s="1276">
        <f t="shared" si="0"/>
        <v>1500</v>
      </c>
      <c r="H13" s="1277">
        <f t="shared" si="1"/>
        <v>10</v>
      </c>
      <c r="I13" s="1277">
        <f t="shared" si="2"/>
        <v>10</v>
      </c>
      <c r="J13" s="1689">
        <f t="shared" si="3"/>
        <v>1</v>
      </c>
      <c r="K13" s="1276">
        <f t="shared" si="4"/>
        <v>1500</v>
      </c>
      <c r="L13" s="1277">
        <f t="shared" si="5"/>
        <v>10</v>
      </c>
      <c r="M13" s="1277">
        <f t="shared" si="6"/>
        <v>10</v>
      </c>
      <c r="N13" s="1689">
        <f t="shared" si="7"/>
        <v>1</v>
      </c>
      <c r="O13" s="1047"/>
      <c r="P13" s="1048"/>
      <c r="Q13" s="1048"/>
      <c r="R13" s="1699" t="str">
        <f t="shared" si="8"/>
        <v>-</v>
      </c>
      <c r="S13" s="1047"/>
      <c r="T13" s="1048"/>
      <c r="U13" s="1048"/>
      <c r="V13" s="1699" t="str">
        <f t="shared" si="9"/>
        <v>-</v>
      </c>
      <c r="W13" s="1047">
        <v>1500</v>
      </c>
      <c r="X13" s="1048">
        <v>10</v>
      </c>
      <c r="Y13" s="1048">
        <v>10</v>
      </c>
      <c r="Z13" s="1699">
        <f t="shared" si="10"/>
        <v>1</v>
      </c>
      <c r="AA13" s="1047"/>
      <c r="AB13" s="1048"/>
      <c r="AC13" s="1048"/>
      <c r="AD13" s="1699" t="str">
        <f t="shared" si="11"/>
        <v>-</v>
      </c>
      <c r="AE13" s="1276">
        <f t="shared" si="16"/>
        <v>0</v>
      </c>
      <c r="AF13" s="1277">
        <f t="shared" si="16"/>
        <v>0</v>
      </c>
      <c r="AG13" s="1277">
        <f t="shared" si="16"/>
        <v>0</v>
      </c>
      <c r="AH13" s="1689" t="str">
        <f t="shared" si="12"/>
        <v>-</v>
      </c>
      <c r="AI13" s="1047"/>
      <c r="AJ13" s="1048"/>
      <c r="AK13" s="1048"/>
      <c r="AL13" s="1699" t="str">
        <f t="shared" si="13"/>
        <v>-</v>
      </c>
      <c r="AM13" s="1047"/>
      <c r="AN13" s="1048"/>
      <c r="AO13" s="1048"/>
      <c r="AP13" s="1699" t="str">
        <f t="shared" si="14"/>
        <v>-</v>
      </c>
      <c r="AQ13" s="1047"/>
      <c r="AR13" s="1048"/>
      <c r="AS13" s="1048"/>
      <c r="AT13" s="1699" t="str">
        <f t="shared" si="15"/>
        <v>-</v>
      </c>
      <c r="AU13" s="442"/>
      <c r="AV13" s="442"/>
      <c r="AW13" s="442"/>
      <c r="AX13" s="442"/>
      <c r="AY13" s="442"/>
    </row>
    <row r="14" spans="1:51" ht="12.75" customHeight="1">
      <c r="A14" s="483">
        <f t="shared" si="17"/>
        <v>7</v>
      </c>
      <c r="B14" s="1781">
        <v>8</v>
      </c>
      <c r="C14" s="1059" t="s">
        <v>711</v>
      </c>
      <c r="D14" s="856" t="s">
        <v>1065</v>
      </c>
      <c r="E14" s="1061" t="s">
        <v>1259</v>
      </c>
      <c r="F14" s="859" t="s">
        <v>1067</v>
      </c>
      <c r="G14" s="1280">
        <f t="shared" si="0"/>
        <v>350</v>
      </c>
      <c r="H14" s="1281">
        <f t="shared" si="1"/>
        <v>1596</v>
      </c>
      <c r="I14" s="1281">
        <f t="shared" si="2"/>
        <v>740</v>
      </c>
      <c r="J14" s="1668">
        <f t="shared" si="3"/>
        <v>0.46365914786967416</v>
      </c>
      <c r="K14" s="1280">
        <f t="shared" si="4"/>
        <v>0</v>
      </c>
      <c r="L14" s="1281">
        <f t="shared" si="5"/>
        <v>0</v>
      </c>
      <c r="M14" s="1281">
        <f t="shared" si="6"/>
        <v>0</v>
      </c>
      <c r="N14" s="1668" t="str">
        <f t="shared" si="7"/>
        <v>-</v>
      </c>
      <c r="O14" s="1047"/>
      <c r="P14" s="1048"/>
      <c r="Q14" s="1048"/>
      <c r="R14" s="1699" t="str">
        <f t="shared" si="8"/>
        <v>-</v>
      </c>
      <c r="S14" s="1047"/>
      <c r="T14" s="1048"/>
      <c r="U14" s="1048"/>
      <c r="V14" s="1699" t="str">
        <f t="shared" si="9"/>
        <v>-</v>
      </c>
      <c r="W14" s="1047"/>
      <c r="X14" s="1048"/>
      <c r="Y14" s="1048"/>
      <c r="Z14" s="1699" t="str">
        <f t="shared" si="10"/>
        <v>-</v>
      </c>
      <c r="AA14" s="1047"/>
      <c r="AB14" s="1048"/>
      <c r="AC14" s="1048"/>
      <c r="AD14" s="1699" t="str">
        <f t="shared" si="11"/>
        <v>-</v>
      </c>
      <c r="AE14" s="1280">
        <f t="shared" si="16"/>
        <v>350</v>
      </c>
      <c r="AF14" s="1281">
        <f t="shared" si="16"/>
        <v>1596</v>
      </c>
      <c r="AG14" s="1281">
        <f t="shared" si="16"/>
        <v>740</v>
      </c>
      <c r="AH14" s="1668">
        <f t="shared" si="12"/>
        <v>0.46365914786967416</v>
      </c>
      <c r="AI14" s="1047"/>
      <c r="AJ14" s="1048"/>
      <c r="AK14" s="1048"/>
      <c r="AL14" s="1699" t="str">
        <f t="shared" si="13"/>
        <v>-</v>
      </c>
      <c r="AM14" s="1047">
        <v>350</v>
      </c>
      <c r="AN14" s="1048">
        <f>740+856</f>
        <v>1596</v>
      </c>
      <c r="AO14" s="1048">
        <v>740</v>
      </c>
      <c r="AP14" s="1699">
        <f t="shared" si="14"/>
        <v>0.46365914786967416</v>
      </c>
      <c r="AQ14" s="1047"/>
      <c r="AR14" s="1048"/>
      <c r="AS14" s="1048"/>
      <c r="AT14" s="1699" t="str">
        <f t="shared" si="15"/>
        <v>-</v>
      </c>
      <c r="AU14" s="442"/>
      <c r="AV14" s="442"/>
      <c r="AW14" s="442"/>
      <c r="AX14" s="442"/>
      <c r="AY14" s="442"/>
    </row>
    <row r="15" spans="1:51" s="449" customFormat="1" ht="12.75" customHeight="1">
      <c r="A15" s="483">
        <f t="shared" si="17"/>
        <v>8</v>
      </c>
      <c r="B15" s="1781">
        <v>8</v>
      </c>
      <c r="C15" s="1059" t="s">
        <v>711</v>
      </c>
      <c r="D15" s="860" t="s">
        <v>1065</v>
      </c>
      <c r="E15" s="1061" t="s">
        <v>1260</v>
      </c>
      <c r="F15" s="861" t="s">
        <v>659</v>
      </c>
      <c r="G15" s="1280">
        <f t="shared" si="0"/>
        <v>28907</v>
      </c>
      <c r="H15" s="1281">
        <f t="shared" si="1"/>
        <v>54844</v>
      </c>
      <c r="I15" s="1281">
        <f t="shared" si="2"/>
        <v>27879</v>
      </c>
      <c r="J15" s="1668">
        <f t="shared" si="3"/>
        <v>0.50833272554882936</v>
      </c>
      <c r="K15" s="1280">
        <f t="shared" si="4"/>
        <v>28907</v>
      </c>
      <c r="L15" s="1281">
        <f t="shared" si="5"/>
        <v>51577</v>
      </c>
      <c r="M15" s="1281">
        <f t="shared" si="6"/>
        <v>24612</v>
      </c>
      <c r="N15" s="1668">
        <f t="shared" si="7"/>
        <v>0.47718944490761384</v>
      </c>
      <c r="O15" s="1047"/>
      <c r="P15" s="1048"/>
      <c r="Q15" s="1048"/>
      <c r="R15" s="1699" t="str">
        <f t="shared" si="8"/>
        <v>-</v>
      </c>
      <c r="S15" s="1047"/>
      <c r="T15" s="1048"/>
      <c r="U15" s="1048"/>
      <c r="V15" s="1699" t="str">
        <f t="shared" si="9"/>
        <v>-</v>
      </c>
      <c r="W15" s="1047">
        <v>28907</v>
      </c>
      <c r="X15" s="1048">
        <f>24612+26965</f>
        <v>51577</v>
      </c>
      <c r="Y15" s="1048">
        <v>24612</v>
      </c>
      <c r="Z15" s="1699">
        <f t="shared" si="10"/>
        <v>0.47718944490761384</v>
      </c>
      <c r="AA15" s="1047"/>
      <c r="AB15" s="1048"/>
      <c r="AC15" s="1048"/>
      <c r="AD15" s="1699" t="str">
        <f t="shared" si="11"/>
        <v>-</v>
      </c>
      <c r="AE15" s="1280">
        <f t="shared" si="16"/>
        <v>0</v>
      </c>
      <c r="AF15" s="1281">
        <f t="shared" si="16"/>
        <v>3267</v>
      </c>
      <c r="AG15" s="1281">
        <f t="shared" si="16"/>
        <v>3267</v>
      </c>
      <c r="AH15" s="1668">
        <f t="shared" si="12"/>
        <v>1</v>
      </c>
      <c r="AI15" s="1047"/>
      <c r="AJ15" s="1048"/>
      <c r="AK15" s="1048"/>
      <c r="AL15" s="1699" t="str">
        <f t="shared" si="13"/>
        <v>-</v>
      </c>
      <c r="AM15" s="1047"/>
      <c r="AN15" s="1048">
        <f>2867+400</f>
        <v>3267</v>
      </c>
      <c r="AO15" s="1048">
        <f>2867+400</f>
        <v>3267</v>
      </c>
      <c r="AP15" s="1699">
        <f t="shared" si="14"/>
        <v>1</v>
      </c>
      <c r="AQ15" s="1047"/>
      <c r="AR15" s="1048"/>
      <c r="AS15" s="1048"/>
      <c r="AT15" s="1699" t="str">
        <f t="shared" si="15"/>
        <v>-</v>
      </c>
      <c r="AU15" s="442"/>
      <c r="AV15" s="442"/>
      <c r="AW15" s="442"/>
      <c r="AX15" s="442"/>
      <c r="AY15" s="442"/>
    </row>
    <row r="16" spans="1:51">
      <c r="A16" s="483">
        <f t="shared" si="17"/>
        <v>9</v>
      </c>
      <c r="B16" s="1781">
        <v>8</v>
      </c>
      <c r="C16" s="1059" t="s">
        <v>708</v>
      </c>
      <c r="D16" s="856" t="s">
        <v>707</v>
      </c>
      <c r="E16" s="1061" t="s">
        <v>1261</v>
      </c>
      <c r="F16" s="859" t="s">
        <v>783</v>
      </c>
      <c r="G16" s="1280">
        <f t="shared" si="0"/>
        <v>0</v>
      </c>
      <c r="H16" s="1281">
        <f t="shared" si="1"/>
        <v>10483</v>
      </c>
      <c r="I16" s="1281">
        <f t="shared" si="2"/>
        <v>10483</v>
      </c>
      <c r="J16" s="1668">
        <f t="shared" si="3"/>
        <v>1</v>
      </c>
      <c r="K16" s="1280">
        <f t="shared" si="4"/>
        <v>0</v>
      </c>
      <c r="L16" s="1281">
        <f t="shared" si="5"/>
        <v>10483</v>
      </c>
      <c r="M16" s="1281">
        <f t="shared" si="6"/>
        <v>10483</v>
      </c>
      <c r="N16" s="1668">
        <f t="shared" si="7"/>
        <v>1</v>
      </c>
      <c r="O16" s="1047"/>
      <c r="P16" s="1048"/>
      <c r="Q16" s="1048"/>
      <c r="R16" s="1699" t="str">
        <f t="shared" si="8"/>
        <v>-</v>
      </c>
      <c r="S16" s="1047"/>
      <c r="T16" s="1048"/>
      <c r="U16" s="1048"/>
      <c r="V16" s="1699" t="str">
        <f t="shared" si="9"/>
        <v>-</v>
      </c>
      <c r="W16" s="1047"/>
      <c r="X16" s="1048">
        <f>10444+39</f>
        <v>10483</v>
      </c>
      <c r="Y16" s="1048">
        <f>10444+39</f>
        <v>10483</v>
      </c>
      <c r="Z16" s="1699">
        <f t="shared" si="10"/>
        <v>1</v>
      </c>
      <c r="AA16" s="1047"/>
      <c r="AB16" s="1048"/>
      <c r="AC16" s="1048"/>
      <c r="AD16" s="1699" t="str">
        <f t="shared" si="11"/>
        <v>-</v>
      </c>
      <c r="AE16" s="1280">
        <f t="shared" si="16"/>
        <v>0</v>
      </c>
      <c r="AF16" s="1281">
        <f t="shared" si="16"/>
        <v>0</v>
      </c>
      <c r="AG16" s="1281">
        <f t="shared" si="16"/>
        <v>0</v>
      </c>
      <c r="AH16" s="1668" t="str">
        <f t="shared" si="12"/>
        <v>-</v>
      </c>
      <c r="AI16" s="1047"/>
      <c r="AJ16" s="1048"/>
      <c r="AK16" s="1048"/>
      <c r="AL16" s="1699" t="str">
        <f t="shared" si="13"/>
        <v>-</v>
      </c>
      <c r="AM16" s="1047"/>
      <c r="AN16" s="1048"/>
      <c r="AO16" s="1048"/>
      <c r="AP16" s="1699" t="str">
        <f t="shared" si="14"/>
        <v>-</v>
      </c>
      <c r="AQ16" s="1047"/>
      <c r="AR16" s="1048"/>
      <c r="AS16" s="1048"/>
      <c r="AT16" s="1699" t="str">
        <f t="shared" si="15"/>
        <v>-</v>
      </c>
      <c r="AU16" s="442"/>
      <c r="AV16" s="442"/>
      <c r="AW16" s="442"/>
      <c r="AX16" s="442"/>
      <c r="AY16" s="442"/>
    </row>
    <row r="17" spans="1:51">
      <c r="A17" s="483">
        <f t="shared" si="17"/>
        <v>10</v>
      </c>
      <c r="B17" s="1781">
        <v>8</v>
      </c>
      <c r="C17" s="1059" t="s">
        <v>1008</v>
      </c>
      <c r="D17" s="856" t="s">
        <v>1009</v>
      </c>
      <c r="E17" s="1061" t="s">
        <v>1257</v>
      </c>
      <c r="F17" s="859" t="s">
        <v>1010</v>
      </c>
      <c r="G17" s="1280">
        <f t="shared" si="0"/>
        <v>0</v>
      </c>
      <c r="H17" s="1281">
        <f t="shared" si="1"/>
        <v>0</v>
      </c>
      <c r="I17" s="1281">
        <f t="shared" si="2"/>
        <v>0</v>
      </c>
      <c r="J17" s="1668" t="str">
        <f t="shared" si="3"/>
        <v>-</v>
      </c>
      <c r="K17" s="1280">
        <f t="shared" si="4"/>
        <v>0</v>
      </c>
      <c r="L17" s="1281">
        <f t="shared" si="5"/>
        <v>0</v>
      </c>
      <c r="M17" s="1281">
        <f t="shared" si="6"/>
        <v>0</v>
      </c>
      <c r="N17" s="1668" t="str">
        <f t="shared" si="7"/>
        <v>-</v>
      </c>
      <c r="O17" s="1047"/>
      <c r="P17" s="1048"/>
      <c r="Q17" s="1048"/>
      <c r="R17" s="1699" t="str">
        <f t="shared" si="8"/>
        <v>-</v>
      </c>
      <c r="S17" s="1047"/>
      <c r="T17" s="1048"/>
      <c r="U17" s="1048"/>
      <c r="V17" s="1699" t="str">
        <f t="shared" si="9"/>
        <v>-</v>
      </c>
      <c r="W17" s="1047"/>
      <c r="X17" s="1048"/>
      <c r="Y17" s="1048"/>
      <c r="Z17" s="1699" t="str">
        <f t="shared" si="10"/>
        <v>-</v>
      </c>
      <c r="AA17" s="1047"/>
      <c r="AB17" s="1048"/>
      <c r="AC17" s="1048"/>
      <c r="AD17" s="1699" t="str">
        <f t="shared" si="11"/>
        <v>-</v>
      </c>
      <c r="AE17" s="1280">
        <f t="shared" si="16"/>
        <v>0</v>
      </c>
      <c r="AF17" s="1281">
        <f t="shared" si="16"/>
        <v>0</v>
      </c>
      <c r="AG17" s="1281">
        <f t="shared" si="16"/>
        <v>0</v>
      </c>
      <c r="AH17" s="1668" t="str">
        <f t="shared" si="12"/>
        <v>-</v>
      </c>
      <c r="AI17" s="1047"/>
      <c r="AJ17" s="1048"/>
      <c r="AK17" s="1048"/>
      <c r="AL17" s="1699" t="str">
        <f t="shared" si="13"/>
        <v>-</v>
      </c>
      <c r="AM17" s="1047"/>
      <c r="AN17" s="1048"/>
      <c r="AO17" s="1048"/>
      <c r="AP17" s="1699" t="str">
        <f t="shared" si="14"/>
        <v>-</v>
      </c>
      <c r="AQ17" s="1047"/>
      <c r="AR17" s="1048"/>
      <c r="AS17" s="1048"/>
      <c r="AT17" s="1699" t="str">
        <f t="shared" si="15"/>
        <v>-</v>
      </c>
      <c r="AU17" s="442"/>
      <c r="AV17" s="442"/>
      <c r="AW17" s="442"/>
      <c r="AX17" s="442"/>
      <c r="AY17" s="442"/>
    </row>
    <row r="18" spans="1:51">
      <c r="A18" s="483">
        <f t="shared" si="17"/>
        <v>11</v>
      </c>
      <c r="B18" s="1781">
        <v>8</v>
      </c>
      <c r="C18" s="1059" t="s">
        <v>732</v>
      </c>
      <c r="D18" s="856" t="s">
        <v>730</v>
      </c>
      <c r="E18" s="1061" t="s">
        <v>1257</v>
      </c>
      <c r="F18" s="859" t="s">
        <v>728</v>
      </c>
      <c r="G18" s="1280">
        <f t="shared" si="0"/>
        <v>888836</v>
      </c>
      <c r="H18" s="1281">
        <f t="shared" si="1"/>
        <v>1289899</v>
      </c>
      <c r="I18" s="1281">
        <f t="shared" si="2"/>
        <v>1289899</v>
      </c>
      <c r="J18" s="1668">
        <f t="shared" si="3"/>
        <v>1</v>
      </c>
      <c r="K18" s="1280">
        <f t="shared" si="4"/>
        <v>888836</v>
      </c>
      <c r="L18" s="1281">
        <f t="shared" si="5"/>
        <v>907273</v>
      </c>
      <c r="M18" s="1281">
        <f t="shared" si="6"/>
        <v>907273</v>
      </c>
      <c r="N18" s="1668">
        <f t="shared" si="7"/>
        <v>1</v>
      </c>
      <c r="O18" s="1047">
        <v>888836</v>
      </c>
      <c r="P18" s="1048">
        <v>907273</v>
      </c>
      <c r="Q18" s="1048">
        <v>907273</v>
      </c>
      <c r="R18" s="1699">
        <f t="shared" si="8"/>
        <v>1</v>
      </c>
      <c r="S18" s="1047"/>
      <c r="T18" s="1048"/>
      <c r="U18" s="1048"/>
      <c r="V18" s="1699" t="str">
        <f t="shared" si="9"/>
        <v>-</v>
      </c>
      <c r="W18" s="1047"/>
      <c r="X18" s="1048"/>
      <c r="Y18" s="1048"/>
      <c r="Z18" s="1699" t="str">
        <f t="shared" si="10"/>
        <v>-</v>
      </c>
      <c r="AA18" s="1047"/>
      <c r="AB18" s="1048"/>
      <c r="AC18" s="1048"/>
      <c r="AD18" s="1699" t="str">
        <f t="shared" si="11"/>
        <v>-</v>
      </c>
      <c r="AE18" s="1280">
        <f t="shared" si="16"/>
        <v>0</v>
      </c>
      <c r="AF18" s="1281">
        <f t="shared" si="16"/>
        <v>382626</v>
      </c>
      <c r="AG18" s="1281">
        <f t="shared" si="16"/>
        <v>382626</v>
      </c>
      <c r="AH18" s="1668">
        <f t="shared" si="12"/>
        <v>1</v>
      </c>
      <c r="AI18" s="1047"/>
      <c r="AJ18" s="1048">
        <v>382626</v>
      </c>
      <c r="AK18" s="1048">
        <v>382626</v>
      </c>
      <c r="AL18" s="1699">
        <f t="shared" si="13"/>
        <v>1</v>
      </c>
      <c r="AM18" s="1047"/>
      <c r="AN18" s="1048"/>
      <c r="AO18" s="1048"/>
      <c r="AP18" s="1699" t="str">
        <f t="shared" si="14"/>
        <v>-</v>
      </c>
      <c r="AQ18" s="1047"/>
      <c r="AR18" s="1048"/>
      <c r="AS18" s="1048"/>
      <c r="AT18" s="1699" t="str">
        <f t="shared" si="15"/>
        <v>-</v>
      </c>
      <c r="AU18" s="442"/>
      <c r="AV18" s="442"/>
      <c r="AW18" s="442"/>
      <c r="AX18" s="442"/>
      <c r="AY18" s="442"/>
    </row>
    <row r="19" spans="1:51">
      <c r="A19" s="483">
        <f t="shared" si="17"/>
        <v>12</v>
      </c>
      <c r="B19" s="1781">
        <v>8</v>
      </c>
      <c r="C19" s="1059" t="s">
        <v>729</v>
      </c>
      <c r="D19" s="856" t="s">
        <v>731</v>
      </c>
      <c r="E19" s="1061" t="s">
        <v>1257</v>
      </c>
      <c r="F19" s="859" t="s">
        <v>660</v>
      </c>
      <c r="G19" s="1280">
        <f t="shared" si="0"/>
        <v>0</v>
      </c>
      <c r="H19" s="1281">
        <f t="shared" si="1"/>
        <v>0</v>
      </c>
      <c r="I19" s="1281">
        <f t="shared" si="2"/>
        <v>0</v>
      </c>
      <c r="J19" s="1668" t="str">
        <f t="shared" si="3"/>
        <v>-</v>
      </c>
      <c r="K19" s="1280">
        <f t="shared" si="4"/>
        <v>0</v>
      </c>
      <c r="L19" s="1281">
        <f t="shared" si="5"/>
        <v>0</v>
      </c>
      <c r="M19" s="1281">
        <f t="shared" si="6"/>
        <v>0</v>
      </c>
      <c r="N19" s="1668" t="str">
        <f t="shared" si="7"/>
        <v>-</v>
      </c>
      <c r="O19" s="1047"/>
      <c r="P19" s="1048"/>
      <c r="Q19" s="1048"/>
      <c r="R19" s="1699" t="str">
        <f t="shared" si="8"/>
        <v>-</v>
      </c>
      <c r="S19" s="1047"/>
      <c r="T19" s="1048"/>
      <c r="U19" s="1048"/>
      <c r="V19" s="1699" t="str">
        <f t="shared" si="9"/>
        <v>-</v>
      </c>
      <c r="W19" s="1047"/>
      <c r="X19" s="1048"/>
      <c r="Y19" s="1048"/>
      <c r="Z19" s="1699" t="str">
        <f t="shared" si="10"/>
        <v>-</v>
      </c>
      <c r="AA19" s="1047"/>
      <c r="AB19" s="1048"/>
      <c r="AC19" s="1048"/>
      <c r="AD19" s="1699" t="str">
        <f t="shared" si="11"/>
        <v>-</v>
      </c>
      <c r="AE19" s="1280">
        <f t="shared" si="16"/>
        <v>0</v>
      </c>
      <c r="AF19" s="1281">
        <f t="shared" si="16"/>
        <v>0</v>
      </c>
      <c r="AG19" s="1281">
        <f t="shared" si="16"/>
        <v>0</v>
      </c>
      <c r="AH19" s="1668" t="str">
        <f t="shared" si="12"/>
        <v>-</v>
      </c>
      <c r="AI19" s="1047"/>
      <c r="AJ19" s="1048"/>
      <c r="AK19" s="1048"/>
      <c r="AL19" s="1699" t="str">
        <f t="shared" si="13"/>
        <v>-</v>
      </c>
      <c r="AM19" s="1047"/>
      <c r="AN19" s="1048"/>
      <c r="AO19" s="1048"/>
      <c r="AP19" s="1699" t="str">
        <f t="shared" si="14"/>
        <v>-</v>
      </c>
      <c r="AQ19" s="1047"/>
      <c r="AR19" s="1048"/>
      <c r="AS19" s="1048"/>
      <c r="AT19" s="1699" t="str">
        <f t="shared" si="15"/>
        <v>-</v>
      </c>
      <c r="AU19" s="442"/>
      <c r="AV19" s="442"/>
      <c r="AW19" s="442"/>
      <c r="AX19" s="442"/>
      <c r="AY19" s="442"/>
    </row>
    <row r="20" spans="1:51">
      <c r="A20" s="483">
        <f t="shared" si="17"/>
        <v>13</v>
      </c>
      <c r="B20" s="1781">
        <v>8</v>
      </c>
      <c r="C20" s="1059" t="s">
        <v>1011</v>
      </c>
      <c r="D20" s="856" t="s">
        <v>1012</v>
      </c>
      <c r="E20" s="1061" t="s">
        <v>1257</v>
      </c>
      <c r="F20" s="859" t="s">
        <v>1004</v>
      </c>
      <c r="G20" s="1280">
        <f t="shared" si="0"/>
        <v>3090</v>
      </c>
      <c r="H20" s="1281">
        <f t="shared" si="1"/>
        <v>3907</v>
      </c>
      <c r="I20" s="1281">
        <f t="shared" si="2"/>
        <v>3907</v>
      </c>
      <c r="J20" s="1668">
        <f t="shared" si="3"/>
        <v>1</v>
      </c>
      <c r="K20" s="1280">
        <f t="shared" si="4"/>
        <v>3090</v>
      </c>
      <c r="L20" s="1281">
        <f t="shared" si="5"/>
        <v>3907</v>
      </c>
      <c r="M20" s="1281">
        <f t="shared" si="6"/>
        <v>3907</v>
      </c>
      <c r="N20" s="1668">
        <f t="shared" si="7"/>
        <v>1</v>
      </c>
      <c r="O20" s="1047">
        <v>3090</v>
      </c>
      <c r="P20" s="1048">
        <v>3907</v>
      </c>
      <c r="Q20" s="1048">
        <v>3907</v>
      </c>
      <c r="R20" s="1699">
        <f t="shared" si="8"/>
        <v>1</v>
      </c>
      <c r="S20" s="1047"/>
      <c r="T20" s="1048"/>
      <c r="U20" s="1048"/>
      <c r="V20" s="1699" t="str">
        <f t="shared" si="9"/>
        <v>-</v>
      </c>
      <c r="W20" s="1047"/>
      <c r="X20" s="1048"/>
      <c r="Y20" s="1048"/>
      <c r="Z20" s="1699" t="str">
        <f t="shared" si="10"/>
        <v>-</v>
      </c>
      <c r="AA20" s="1047"/>
      <c r="AB20" s="1048"/>
      <c r="AC20" s="1048"/>
      <c r="AD20" s="1699" t="str">
        <f t="shared" si="11"/>
        <v>-</v>
      </c>
      <c r="AE20" s="1280">
        <f t="shared" si="16"/>
        <v>0</v>
      </c>
      <c r="AF20" s="1281">
        <f t="shared" si="16"/>
        <v>0</v>
      </c>
      <c r="AG20" s="1281">
        <f t="shared" si="16"/>
        <v>0</v>
      </c>
      <c r="AH20" s="1668" t="str">
        <f t="shared" si="12"/>
        <v>-</v>
      </c>
      <c r="AI20" s="1047"/>
      <c r="AJ20" s="1048"/>
      <c r="AK20" s="1048"/>
      <c r="AL20" s="1699" t="str">
        <f t="shared" si="13"/>
        <v>-</v>
      </c>
      <c r="AM20" s="1047"/>
      <c r="AN20" s="1048"/>
      <c r="AO20" s="1048"/>
      <c r="AP20" s="1699" t="str">
        <f t="shared" si="14"/>
        <v>-</v>
      </c>
      <c r="AQ20" s="1047"/>
      <c r="AR20" s="1048"/>
      <c r="AS20" s="1048"/>
      <c r="AT20" s="1699" t="str">
        <f t="shared" si="15"/>
        <v>-</v>
      </c>
      <c r="AU20" s="442"/>
      <c r="AV20" s="442"/>
      <c r="AW20" s="442"/>
      <c r="AX20" s="442"/>
      <c r="AY20" s="442"/>
    </row>
    <row r="21" spans="1:51">
      <c r="A21" s="483">
        <f t="shared" si="17"/>
        <v>14</v>
      </c>
      <c r="B21" s="1781">
        <v>8</v>
      </c>
      <c r="C21" s="1059" t="s">
        <v>734</v>
      </c>
      <c r="D21" s="856" t="s">
        <v>733</v>
      </c>
      <c r="E21" s="1061" t="s">
        <v>1257</v>
      </c>
      <c r="F21" s="859" t="s">
        <v>661</v>
      </c>
      <c r="G21" s="1280">
        <f t="shared" si="0"/>
        <v>0</v>
      </c>
      <c r="H21" s="1281">
        <f t="shared" si="1"/>
        <v>0</v>
      </c>
      <c r="I21" s="1281">
        <f t="shared" si="2"/>
        <v>0</v>
      </c>
      <c r="J21" s="1668" t="str">
        <f t="shared" si="3"/>
        <v>-</v>
      </c>
      <c r="K21" s="1280">
        <f t="shared" si="4"/>
        <v>0</v>
      </c>
      <c r="L21" s="1281">
        <f t="shared" si="5"/>
        <v>0</v>
      </c>
      <c r="M21" s="1281">
        <f t="shared" si="6"/>
        <v>0</v>
      </c>
      <c r="N21" s="1668" t="str">
        <f t="shared" si="7"/>
        <v>-</v>
      </c>
      <c r="O21" s="1047"/>
      <c r="P21" s="1048"/>
      <c r="Q21" s="1048"/>
      <c r="R21" s="1699" t="str">
        <f t="shared" si="8"/>
        <v>-</v>
      </c>
      <c r="S21" s="1047"/>
      <c r="T21" s="1048"/>
      <c r="U21" s="1048"/>
      <c r="V21" s="1699" t="str">
        <f t="shared" si="9"/>
        <v>-</v>
      </c>
      <c r="W21" s="1047"/>
      <c r="X21" s="1048"/>
      <c r="Y21" s="1048"/>
      <c r="Z21" s="1699" t="str">
        <f t="shared" si="10"/>
        <v>-</v>
      </c>
      <c r="AA21" s="1047"/>
      <c r="AB21" s="1048"/>
      <c r="AC21" s="1048"/>
      <c r="AD21" s="1699" t="str">
        <f t="shared" si="11"/>
        <v>-</v>
      </c>
      <c r="AE21" s="1280">
        <f t="shared" si="16"/>
        <v>0</v>
      </c>
      <c r="AF21" s="1281">
        <f t="shared" si="16"/>
        <v>0</v>
      </c>
      <c r="AG21" s="1281">
        <f t="shared" si="16"/>
        <v>0</v>
      </c>
      <c r="AH21" s="1668" t="str">
        <f t="shared" si="12"/>
        <v>-</v>
      </c>
      <c r="AI21" s="1047"/>
      <c r="AJ21" s="1048"/>
      <c r="AK21" s="1048"/>
      <c r="AL21" s="1699" t="str">
        <f t="shared" si="13"/>
        <v>-</v>
      </c>
      <c r="AM21" s="1047"/>
      <c r="AN21" s="1048"/>
      <c r="AO21" s="1048"/>
      <c r="AP21" s="1699" t="str">
        <f t="shared" si="14"/>
        <v>-</v>
      </c>
      <c r="AQ21" s="1047"/>
      <c r="AR21" s="1048"/>
      <c r="AS21" s="1048"/>
      <c r="AT21" s="1699" t="str">
        <f t="shared" si="15"/>
        <v>-</v>
      </c>
      <c r="AU21" s="442"/>
      <c r="AV21" s="442"/>
      <c r="AW21" s="442"/>
      <c r="AX21" s="442"/>
      <c r="AY21" s="442"/>
    </row>
    <row r="22" spans="1:51">
      <c r="A22" s="483">
        <f t="shared" si="17"/>
        <v>15</v>
      </c>
      <c r="B22" s="1781">
        <v>6</v>
      </c>
      <c r="C22" s="1059" t="s">
        <v>716</v>
      </c>
      <c r="D22" s="856" t="s">
        <v>670</v>
      </c>
      <c r="E22" s="1061" t="s">
        <v>1257</v>
      </c>
      <c r="F22" s="859" t="s">
        <v>715</v>
      </c>
      <c r="G22" s="1280">
        <f t="shared" si="0"/>
        <v>0</v>
      </c>
      <c r="H22" s="1281">
        <f t="shared" si="1"/>
        <v>0</v>
      </c>
      <c r="I22" s="1281">
        <f t="shared" si="2"/>
        <v>0</v>
      </c>
      <c r="J22" s="1668" t="str">
        <f t="shared" si="3"/>
        <v>-</v>
      </c>
      <c r="K22" s="1280">
        <f t="shared" si="4"/>
        <v>0</v>
      </c>
      <c r="L22" s="1281">
        <f t="shared" si="5"/>
        <v>0</v>
      </c>
      <c r="M22" s="1281">
        <f t="shared" si="6"/>
        <v>0</v>
      </c>
      <c r="N22" s="1668" t="str">
        <f t="shared" si="7"/>
        <v>-</v>
      </c>
      <c r="O22" s="1047"/>
      <c r="P22" s="1048"/>
      <c r="Q22" s="1048"/>
      <c r="R22" s="1699" t="str">
        <f t="shared" si="8"/>
        <v>-</v>
      </c>
      <c r="S22" s="1047"/>
      <c r="T22" s="1048"/>
      <c r="U22" s="1048"/>
      <c r="V22" s="1699" t="str">
        <f t="shared" si="9"/>
        <v>-</v>
      </c>
      <c r="W22" s="1047"/>
      <c r="X22" s="1048"/>
      <c r="Y22" s="1048"/>
      <c r="Z22" s="1699" t="str">
        <f t="shared" si="10"/>
        <v>-</v>
      </c>
      <c r="AA22" s="1047"/>
      <c r="AB22" s="1048"/>
      <c r="AC22" s="1048"/>
      <c r="AD22" s="1699" t="str">
        <f t="shared" si="11"/>
        <v>-</v>
      </c>
      <c r="AE22" s="1280">
        <f t="shared" si="16"/>
        <v>0</v>
      </c>
      <c r="AF22" s="1281">
        <f t="shared" si="16"/>
        <v>0</v>
      </c>
      <c r="AG22" s="1281">
        <f t="shared" si="16"/>
        <v>0</v>
      </c>
      <c r="AH22" s="1668" t="str">
        <f t="shared" si="12"/>
        <v>-</v>
      </c>
      <c r="AI22" s="1047"/>
      <c r="AJ22" s="1048"/>
      <c r="AK22" s="1048"/>
      <c r="AL22" s="1699" t="str">
        <f t="shared" si="13"/>
        <v>-</v>
      </c>
      <c r="AM22" s="1047"/>
      <c r="AN22" s="1048"/>
      <c r="AO22" s="1048"/>
      <c r="AP22" s="1699" t="str">
        <f t="shared" si="14"/>
        <v>-</v>
      </c>
      <c r="AQ22" s="1047"/>
      <c r="AR22" s="1048"/>
      <c r="AS22" s="1048"/>
      <c r="AT22" s="1699" t="str">
        <f t="shared" si="15"/>
        <v>-</v>
      </c>
      <c r="AU22" s="442"/>
      <c r="AV22" s="442"/>
      <c r="AW22" s="442"/>
      <c r="AX22" s="442"/>
      <c r="AY22" s="442"/>
    </row>
    <row r="23" spans="1:51">
      <c r="A23" s="483">
        <f t="shared" si="17"/>
        <v>16</v>
      </c>
      <c r="B23" s="1781">
        <v>6</v>
      </c>
      <c r="C23" s="1059" t="s">
        <v>717</v>
      </c>
      <c r="D23" s="856" t="s">
        <v>671</v>
      </c>
      <c r="E23" s="1061" t="s">
        <v>1257</v>
      </c>
      <c r="F23" s="859" t="s">
        <v>715</v>
      </c>
      <c r="G23" s="1280">
        <f t="shared" si="0"/>
        <v>0</v>
      </c>
      <c r="H23" s="1281">
        <f t="shared" si="1"/>
        <v>0</v>
      </c>
      <c r="I23" s="1281">
        <f t="shared" si="2"/>
        <v>0</v>
      </c>
      <c r="J23" s="1668" t="str">
        <f t="shared" si="3"/>
        <v>-</v>
      </c>
      <c r="K23" s="1280">
        <f t="shared" si="4"/>
        <v>0</v>
      </c>
      <c r="L23" s="1281">
        <f t="shared" si="5"/>
        <v>0</v>
      </c>
      <c r="M23" s="1281">
        <f t="shared" si="6"/>
        <v>0</v>
      </c>
      <c r="N23" s="1668" t="str">
        <f t="shared" si="7"/>
        <v>-</v>
      </c>
      <c r="O23" s="1047"/>
      <c r="P23" s="1048"/>
      <c r="Q23" s="1048"/>
      <c r="R23" s="1699" t="str">
        <f t="shared" si="8"/>
        <v>-</v>
      </c>
      <c r="S23" s="1047"/>
      <c r="T23" s="1048"/>
      <c r="U23" s="1048"/>
      <c r="V23" s="1699" t="str">
        <f t="shared" si="9"/>
        <v>-</v>
      </c>
      <c r="W23" s="1047"/>
      <c r="X23" s="1048"/>
      <c r="Y23" s="1048"/>
      <c r="Z23" s="1699" t="str">
        <f t="shared" si="10"/>
        <v>-</v>
      </c>
      <c r="AA23" s="1047"/>
      <c r="AB23" s="1048"/>
      <c r="AC23" s="1048"/>
      <c r="AD23" s="1699" t="str">
        <f t="shared" si="11"/>
        <v>-</v>
      </c>
      <c r="AE23" s="1280">
        <f t="shared" si="16"/>
        <v>0</v>
      </c>
      <c r="AF23" s="1281">
        <f t="shared" si="16"/>
        <v>0</v>
      </c>
      <c r="AG23" s="1281">
        <f t="shared" si="16"/>
        <v>0</v>
      </c>
      <c r="AH23" s="1668" t="str">
        <f t="shared" si="12"/>
        <v>-</v>
      </c>
      <c r="AI23" s="1047"/>
      <c r="AJ23" s="1048"/>
      <c r="AK23" s="1048"/>
      <c r="AL23" s="1699" t="str">
        <f t="shared" si="13"/>
        <v>-</v>
      </c>
      <c r="AM23" s="1047"/>
      <c r="AN23" s="1048"/>
      <c r="AO23" s="1048"/>
      <c r="AP23" s="1699" t="str">
        <f t="shared" si="14"/>
        <v>-</v>
      </c>
      <c r="AQ23" s="1047"/>
      <c r="AR23" s="1048"/>
      <c r="AS23" s="1048"/>
      <c r="AT23" s="1699" t="str">
        <f t="shared" si="15"/>
        <v>-</v>
      </c>
      <c r="AU23" s="442"/>
      <c r="AV23" s="442"/>
      <c r="AW23" s="442"/>
      <c r="AX23" s="442"/>
      <c r="AY23" s="442"/>
    </row>
    <row r="24" spans="1:51">
      <c r="A24" s="483">
        <f t="shared" si="17"/>
        <v>17</v>
      </c>
      <c r="B24" s="1781">
        <v>6</v>
      </c>
      <c r="C24" s="1059" t="s">
        <v>719</v>
      </c>
      <c r="D24" s="856" t="s">
        <v>720</v>
      </c>
      <c r="E24" s="1061" t="s">
        <v>1257</v>
      </c>
      <c r="F24" s="859" t="s">
        <v>718</v>
      </c>
      <c r="G24" s="1280">
        <f t="shared" si="0"/>
        <v>15471</v>
      </c>
      <c r="H24" s="1281">
        <f t="shared" si="1"/>
        <v>94429</v>
      </c>
      <c r="I24" s="1281">
        <f t="shared" si="2"/>
        <v>94429</v>
      </c>
      <c r="J24" s="1668">
        <f t="shared" si="3"/>
        <v>1</v>
      </c>
      <c r="K24" s="1280">
        <f t="shared" si="4"/>
        <v>15471</v>
      </c>
      <c r="L24" s="1281">
        <f t="shared" si="5"/>
        <v>94429</v>
      </c>
      <c r="M24" s="1281">
        <f t="shared" si="6"/>
        <v>94429</v>
      </c>
      <c r="N24" s="1668">
        <f t="shared" si="7"/>
        <v>1</v>
      </c>
      <c r="O24" s="1047">
        <v>15471</v>
      </c>
      <c r="P24" s="1048">
        <v>94429</v>
      </c>
      <c r="Q24" s="1048">
        <v>94429</v>
      </c>
      <c r="R24" s="1699">
        <f t="shared" si="8"/>
        <v>1</v>
      </c>
      <c r="S24" s="1047"/>
      <c r="T24" s="1048"/>
      <c r="U24" s="1048"/>
      <c r="V24" s="1699" t="str">
        <f t="shared" si="9"/>
        <v>-</v>
      </c>
      <c r="W24" s="1047"/>
      <c r="X24" s="1048"/>
      <c r="Y24" s="1048"/>
      <c r="Z24" s="1699" t="str">
        <f t="shared" si="10"/>
        <v>-</v>
      </c>
      <c r="AA24" s="1047"/>
      <c r="AB24" s="1048"/>
      <c r="AC24" s="1048"/>
      <c r="AD24" s="1699" t="str">
        <f t="shared" si="11"/>
        <v>-</v>
      </c>
      <c r="AE24" s="1280">
        <f t="shared" si="16"/>
        <v>0</v>
      </c>
      <c r="AF24" s="1281">
        <f t="shared" si="16"/>
        <v>0</v>
      </c>
      <c r="AG24" s="1281">
        <f t="shared" si="16"/>
        <v>0</v>
      </c>
      <c r="AH24" s="1668" t="str">
        <f t="shared" si="12"/>
        <v>-</v>
      </c>
      <c r="AI24" s="1047"/>
      <c r="AJ24" s="1048"/>
      <c r="AK24" s="1048"/>
      <c r="AL24" s="1699" t="str">
        <f t="shared" si="13"/>
        <v>-</v>
      </c>
      <c r="AM24" s="1047"/>
      <c r="AN24" s="1048"/>
      <c r="AO24" s="1048"/>
      <c r="AP24" s="1699" t="str">
        <f t="shared" si="14"/>
        <v>-</v>
      </c>
      <c r="AQ24" s="1047"/>
      <c r="AR24" s="1048"/>
      <c r="AS24" s="1048"/>
      <c r="AT24" s="1699" t="str">
        <f t="shared" si="15"/>
        <v>-</v>
      </c>
      <c r="AU24" s="442"/>
      <c r="AV24" s="442"/>
      <c r="AW24" s="442"/>
      <c r="AX24" s="442"/>
      <c r="AY24" s="442"/>
    </row>
    <row r="25" spans="1:51">
      <c r="A25" s="483">
        <f t="shared" si="17"/>
        <v>18</v>
      </c>
      <c r="B25" s="1781">
        <v>6</v>
      </c>
      <c r="C25" s="1059" t="s">
        <v>723</v>
      </c>
      <c r="D25" s="856" t="s">
        <v>724</v>
      </c>
      <c r="E25" s="1061" t="s">
        <v>1257</v>
      </c>
      <c r="F25" s="859" t="s">
        <v>721</v>
      </c>
      <c r="G25" s="1280">
        <f t="shared" si="0"/>
        <v>0</v>
      </c>
      <c r="H25" s="1281">
        <f t="shared" si="1"/>
        <v>0</v>
      </c>
      <c r="I25" s="1281">
        <f t="shared" si="2"/>
        <v>0</v>
      </c>
      <c r="J25" s="1668" t="str">
        <f t="shared" si="3"/>
        <v>-</v>
      </c>
      <c r="K25" s="1280">
        <f t="shared" si="4"/>
        <v>0</v>
      </c>
      <c r="L25" s="1281">
        <f t="shared" si="5"/>
        <v>0</v>
      </c>
      <c r="M25" s="1281">
        <f t="shared" si="6"/>
        <v>0</v>
      </c>
      <c r="N25" s="1668" t="str">
        <f t="shared" si="7"/>
        <v>-</v>
      </c>
      <c r="O25" s="1047"/>
      <c r="P25" s="1048"/>
      <c r="Q25" s="1048"/>
      <c r="R25" s="1699" t="str">
        <f t="shared" si="8"/>
        <v>-</v>
      </c>
      <c r="S25" s="1047"/>
      <c r="T25" s="1048"/>
      <c r="U25" s="1048"/>
      <c r="V25" s="1699" t="str">
        <f t="shared" si="9"/>
        <v>-</v>
      </c>
      <c r="W25" s="1047"/>
      <c r="X25" s="1048"/>
      <c r="Y25" s="1048"/>
      <c r="Z25" s="1699" t="str">
        <f t="shared" si="10"/>
        <v>-</v>
      </c>
      <c r="AA25" s="1047"/>
      <c r="AB25" s="1048"/>
      <c r="AC25" s="1048"/>
      <c r="AD25" s="1699" t="str">
        <f t="shared" si="11"/>
        <v>-</v>
      </c>
      <c r="AE25" s="1280">
        <f t="shared" si="16"/>
        <v>0</v>
      </c>
      <c r="AF25" s="1281">
        <f t="shared" si="16"/>
        <v>0</v>
      </c>
      <c r="AG25" s="1281">
        <f t="shared" si="16"/>
        <v>0</v>
      </c>
      <c r="AH25" s="1668" t="str">
        <f t="shared" si="12"/>
        <v>-</v>
      </c>
      <c r="AI25" s="1047"/>
      <c r="AJ25" s="1048"/>
      <c r="AK25" s="1048"/>
      <c r="AL25" s="1699" t="str">
        <f t="shared" si="13"/>
        <v>-</v>
      </c>
      <c r="AM25" s="1047"/>
      <c r="AN25" s="1048"/>
      <c r="AO25" s="1048"/>
      <c r="AP25" s="1699" t="str">
        <f t="shared" si="14"/>
        <v>-</v>
      </c>
      <c r="AQ25" s="1047"/>
      <c r="AR25" s="1048"/>
      <c r="AS25" s="1048"/>
      <c r="AT25" s="1699" t="str">
        <f t="shared" si="15"/>
        <v>-</v>
      </c>
      <c r="AU25" s="442"/>
      <c r="AV25" s="442"/>
      <c r="AW25" s="442"/>
      <c r="AX25" s="442"/>
      <c r="AY25" s="442"/>
    </row>
    <row r="26" spans="1:51">
      <c r="A26" s="483">
        <f t="shared" si="17"/>
        <v>19</v>
      </c>
      <c r="B26" s="1781">
        <v>6</v>
      </c>
      <c r="C26" s="1062" t="s">
        <v>722</v>
      </c>
      <c r="D26" s="856" t="s">
        <v>672</v>
      </c>
      <c r="E26" s="1061" t="s">
        <v>1257</v>
      </c>
      <c r="F26" s="859" t="s">
        <v>721</v>
      </c>
      <c r="G26" s="1280">
        <f t="shared" si="0"/>
        <v>13315</v>
      </c>
      <c r="H26" s="1281">
        <f t="shared" si="1"/>
        <v>76587</v>
      </c>
      <c r="I26" s="1281">
        <f t="shared" si="2"/>
        <v>76587</v>
      </c>
      <c r="J26" s="1668">
        <f t="shared" si="3"/>
        <v>1</v>
      </c>
      <c r="K26" s="1280">
        <f t="shared" si="4"/>
        <v>13315</v>
      </c>
      <c r="L26" s="1281">
        <f t="shared" si="5"/>
        <v>71977</v>
      </c>
      <c r="M26" s="1281">
        <f t="shared" si="6"/>
        <v>71977</v>
      </c>
      <c r="N26" s="1668">
        <f t="shared" si="7"/>
        <v>1</v>
      </c>
      <c r="O26" s="1047">
        <v>13315</v>
      </c>
      <c r="P26" s="1048">
        <v>62834</v>
      </c>
      <c r="Q26" s="1048">
        <v>62834</v>
      </c>
      <c r="R26" s="1699">
        <f t="shared" si="8"/>
        <v>1</v>
      </c>
      <c r="S26" s="1047"/>
      <c r="T26" s="1048"/>
      <c r="U26" s="1048"/>
      <c r="V26" s="1699" t="str">
        <f t="shared" si="9"/>
        <v>-</v>
      </c>
      <c r="W26" s="1047"/>
      <c r="X26" s="1048">
        <v>9143</v>
      </c>
      <c r="Y26" s="1048">
        <v>9143</v>
      </c>
      <c r="Z26" s="1699">
        <f t="shared" si="10"/>
        <v>1</v>
      </c>
      <c r="AA26" s="1047"/>
      <c r="AB26" s="1048"/>
      <c r="AC26" s="1048"/>
      <c r="AD26" s="1699" t="str">
        <f t="shared" si="11"/>
        <v>-</v>
      </c>
      <c r="AE26" s="1280">
        <f t="shared" si="16"/>
        <v>0</v>
      </c>
      <c r="AF26" s="1281">
        <f t="shared" si="16"/>
        <v>4610</v>
      </c>
      <c r="AG26" s="1281">
        <f t="shared" si="16"/>
        <v>4610</v>
      </c>
      <c r="AH26" s="1668">
        <f t="shared" si="12"/>
        <v>1</v>
      </c>
      <c r="AI26" s="1047"/>
      <c r="AJ26" s="1048">
        <f>4609+1</f>
        <v>4610</v>
      </c>
      <c r="AK26" s="1048">
        <f>4609+1</f>
        <v>4610</v>
      </c>
      <c r="AL26" s="1699">
        <f t="shared" si="13"/>
        <v>1</v>
      </c>
      <c r="AM26" s="1047"/>
      <c r="AN26" s="1048"/>
      <c r="AO26" s="1048"/>
      <c r="AP26" s="1699" t="str">
        <f t="shared" si="14"/>
        <v>-</v>
      </c>
      <c r="AQ26" s="1047"/>
      <c r="AR26" s="1048"/>
      <c r="AS26" s="1048"/>
      <c r="AT26" s="1699" t="str">
        <f t="shared" si="15"/>
        <v>-</v>
      </c>
      <c r="AU26" s="442"/>
      <c r="AV26" s="442"/>
      <c r="AW26" s="442"/>
      <c r="AX26" s="442"/>
      <c r="AY26" s="442"/>
    </row>
    <row r="27" spans="1:51">
      <c r="A27" s="483">
        <f t="shared" si="17"/>
        <v>20</v>
      </c>
      <c r="B27" s="249">
        <v>8</v>
      </c>
      <c r="C27" s="1063" t="s">
        <v>713</v>
      </c>
      <c r="D27" s="862" t="s">
        <v>712</v>
      </c>
      <c r="E27" s="1064" t="s">
        <v>1262</v>
      </c>
      <c r="F27" s="863" t="s">
        <v>1013</v>
      </c>
      <c r="G27" s="1282">
        <f t="shared" si="0"/>
        <v>0</v>
      </c>
      <c r="H27" s="1283">
        <f t="shared" si="1"/>
        <v>0</v>
      </c>
      <c r="I27" s="1283">
        <f t="shared" si="2"/>
        <v>0</v>
      </c>
      <c r="J27" s="1691" t="str">
        <f t="shared" si="3"/>
        <v>-</v>
      </c>
      <c r="K27" s="1282">
        <f t="shared" si="4"/>
        <v>0</v>
      </c>
      <c r="L27" s="1283">
        <f t="shared" si="5"/>
        <v>0</v>
      </c>
      <c r="M27" s="1283">
        <f t="shared" si="6"/>
        <v>0</v>
      </c>
      <c r="N27" s="1691" t="str">
        <f t="shared" si="7"/>
        <v>-</v>
      </c>
      <c r="O27" s="1047"/>
      <c r="P27" s="1048"/>
      <c r="Q27" s="1048"/>
      <c r="R27" s="1699" t="str">
        <f t="shared" si="8"/>
        <v>-</v>
      </c>
      <c r="S27" s="1047"/>
      <c r="T27" s="1048"/>
      <c r="U27" s="1048"/>
      <c r="V27" s="1699" t="str">
        <f t="shared" si="9"/>
        <v>-</v>
      </c>
      <c r="W27" s="1047"/>
      <c r="X27" s="1048"/>
      <c r="Y27" s="1048"/>
      <c r="Z27" s="1699" t="str">
        <f t="shared" si="10"/>
        <v>-</v>
      </c>
      <c r="AA27" s="1047"/>
      <c r="AB27" s="1048"/>
      <c r="AC27" s="1048"/>
      <c r="AD27" s="1699" t="str">
        <f t="shared" si="11"/>
        <v>-</v>
      </c>
      <c r="AE27" s="1282">
        <f t="shared" si="16"/>
        <v>0</v>
      </c>
      <c r="AF27" s="1283">
        <f t="shared" si="16"/>
        <v>0</v>
      </c>
      <c r="AG27" s="1283">
        <f t="shared" si="16"/>
        <v>0</v>
      </c>
      <c r="AH27" s="1691" t="str">
        <f t="shared" si="12"/>
        <v>-</v>
      </c>
      <c r="AI27" s="1047"/>
      <c r="AJ27" s="1048"/>
      <c r="AK27" s="1048"/>
      <c r="AL27" s="1699" t="str">
        <f t="shared" si="13"/>
        <v>-</v>
      </c>
      <c r="AM27" s="1047"/>
      <c r="AN27" s="1048"/>
      <c r="AO27" s="1048"/>
      <c r="AP27" s="1699" t="str">
        <f t="shared" si="14"/>
        <v>-</v>
      </c>
      <c r="AQ27" s="1047"/>
      <c r="AR27" s="1048"/>
      <c r="AS27" s="1048"/>
      <c r="AT27" s="1699" t="str">
        <f t="shared" si="15"/>
        <v>-</v>
      </c>
      <c r="AU27" s="442"/>
      <c r="AV27" s="442"/>
      <c r="AW27" s="442"/>
      <c r="AX27" s="442"/>
      <c r="AY27" s="442"/>
    </row>
    <row r="28" spans="1:51">
      <c r="A28" s="483">
        <f t="shared" si="17"/>
        <v>21</v>
      </c>
      <c r="B28" s="1213">
        <v>5</v>
      </c>
      <c r="C28" s="1063" t="s">
        <v>701</v>
      </c>
      <c r="D28" s="862" t="s">
        <v>651</v>
      </c>
      <c r="E28" s="1064" t="s">
        <v>1257</v>
      </c>
      <c r="F28" s="863" t="s">
        <v>651</v>
      </c>
      <c r="G28" s="1282">
        <f t="shared" si="0"/>
        <v>0</v>
      </c>
      <c r="H28" s="1283">
        <f t="shared" si="1"/>
        <v>0</v>
      </c>
      <c r="I28" s="1283">
        <f t="shared" si="2"/>
        <v>0</v>
      </c>
      <c r="J28" s="1691" t="str">
        <f t="shared" si="3"/>
        <v>-</v>
      </c>
      <c r="K28" s="1282">
        <f t="shared" si="4"/>
        <v>0</v>
      </c>
      <c r="L28" s="1283">
        <f t="shared" si="5"/>
        <v>0</v>
      </c>
      <c r="M28" s="1283">
        <f t="shared" si="6"/>
        <v>0</v>
      </c>
      <c r="N28" s="1691" t="str">
        <f t="shared" si="7"/>
        <v>-</v>
      </c>
      <c r="O28" s="1047"/>
      <c r="P28" s="1048"/>
      <c r="Q28" s="1048"/>
      <c r="R28" s="1699" t="str">
        <f t="shared" si="8"/>
        <v>-</v>
      </c>
      <c r="S28" s="1047"/>
      <c r="T28" s="1048"/>
      <c r="U28" s="1048"/>
      <c r="V28" s="1699" t="str">
        <f t="shared" si="9"/>
        <v>-</v>
      </c>
      <c r="W28" s="1047"/>
      <c r="X28" s="1048"/>
      <c r="Y28" s="1048"/>
      <c r="Z28" s="1699" t="str">
        <f t="shared" si="10"/>
        <v>-</v>
      </c>
      <c r="AA28" s="1047"/>
      <c r="AB28" s="1048"/>
      <c r="AC28" s="1048"/>
      <c r="AD28" s="1699" t="str">
        <f t="shared" si="11"/>
        <v>-</v>
      </c>
      <c r="AE28" s="1282">
        <f t="shared" si="16"/>
        <v>0</v>
      </c>
      <c r="AF28" s="1283">
        <f t="shared" si="16"/>
        <v>0</v>
      </c>
      <c r="AG28" s="1283">
        <f t="shared" si="16"/>
        <v>0</v>
      </c>
      <c r="AH28" s="1691" t="str">
        <f t="shared" si="12"/>
        <v>-</v>
      </c>
      <c r="AI28" s="1047"/>
      <c r="AJ28" s="1048"/>
      <c r="AK28" s="1048"/>
      <c r="AL28" s="1699" t="str">
        <f t="shared" si="13"/>
        <v>-</v>
      </c>
      <c r="AM28" s="1047"/>
      <c r="AN28" s="1048"/>
      <c r="AO28" s="1048"/>
      <c r="AP28" s="1699" t="str">
        <f t="shared" si="14"/>
        <v>-</v>
      </c>
      <c r="AQ28" s="1047"/>
      <c r="AR28" s="1048"/>
      <c r="AS28" s="1048"/>
      <c r="AT28" s="1699" t="str">
        <f t="shared" si="15"/>
        <v>-</v>
      </c>
      <c r="AU28" s="442"/>
      <c r="AV28" s="442"/>
      <c r="AW28" s="442"/>
      <c r="AX28" s="442"/>
      <c r="AY28" s="442"/>
    </row>
    <row r="29" spans="1:51" s="449" customFormat="1">
      <c r="A29" s="483">
        <f t="shared" si="17"/>
        <v>22</v>
      </c>
      <c r="B29" s="1213">
        <v>8</v>
      </c>
      <c r="C29" s="1062" t="s">
        <v>703</v>
      </c>
      <c r="D29" s="856" t="s">
        <v>702</v>
      </c>
      <c r="E29" s="1061" t="s">
        <v>1279</v>
      </c>
      <c r="F29" s="859" t="s">
        <v>702</v>
      </c>
      <c r="G29" s="1280">
        <f t="shared" si="0"/>
        <v>0</v>
      </c>
      <c r="H29" s="1281">
        <f t="shared" si="1"/>
        <v>0</v>
      </c>
      <c r="I29" s="1281">
        <f t="shared" si="2"/>
        <v>0</v>
      </c>
      <c r="J29" s="1668" t="str">
        <f t="shared" si="3"/>
        <v>-</v>
      </c>
      <c r="K29" s="1280">
        <f t="shared" si="4"/>
        <v>0</v>
      </c>
      <c r="L29" s="1281">
        <f t="shared" si="5"/>
        <v>0</v>
      </c>
      <c r="M29" s="1281">
        <f t="shared" si="6"/>
        <v>0</v>
      </c>
      <c r="N29" s="1668" t="str">
        <f t="shared" si="7"/>
        <v>-</v>
      </c>
      <c r="O29" s="1047"/>
      <c r="P29" s="1048"/>
      <c r="Q29" s="1048"/>
      <c r="R29" s="1699" t="str">
        <f t="shared" si="8"/>
        <v>-</v>
      </c>
      <c r="S29" s="1047"/>
      <c r="T29" s="1048"/>
      <c r="U29" s="1048"/>
      <c r="V29" s="1699" t="str">
        <f t="shared" si="9"/>
        <v>-</v>
      </c>
      <c r="W29" s="1047"/>
      <c r="X29" s="1048"/>
      <c r="Y29" s="1048"/>
      <c r="Z29" s="1699" t="str">
        <f t="shared" si="10"/>
        <v>-</v>
      </c>
      <c r="AA29" s="1047"/>
      <c r="AB29" s="1048"/>
      <c r="AC29" s="1048"/>
      <c r="AD29" s="1699" t="str">
        <f t="shared" si="11"/>
        <v>-</v>
      </c>
      <c r="AE29" s="1280">
        <f t="shared" si="16"/>
        <v>0</v>
      </c>
      <c r="AF29" s="1281">
        <f t="shared" si="16"/>
        <v>0</v>
      </c>
      <c r="AG29" s="1281">
        <f t="shared" si="16"/>
        <v>0</v>
      </c>
      <c r="AH29" s="1668" t="str">
        <f t="shared" si="12"/>
        <v>-</v>
      </c>
      <c r="AI29" s="1047"/>
      <c r="AJ29" s="1048"/>
      <c r="AK29" s="1048"/>
      <c r="AL29" s="1699" t="str">
        <f t="shared" si="13"/>
        <v>-</v>
      </c>
      <c r="AM29" s="1047"/>
      <c r="AN29" s="1048"/>
      <c r="AO29" s="1048"/>
      <c r="AP29" s="1699" t="str">
        <f t="shared" si="14"/>
        <v>-</v>
      </c>
      <c r="AQ29" s="1047"/>
      <c r="AR29" s="1048"/>
      <c r="AS29" s="1048"/>
      <c r="AT29" s="1699" t="str">
        <f t="shared" si="15"/>
        <v>-</v>
      </c>
      <c r="AU29" s="442"/>
      <c r="AV29" s="442"/>
      <c r="AW29" s="442"/>
      <c r="AX29" s="442"/>
      <c r="AY29" s="442"/>
    </row>
    <row r="30" spans="1:51" s="449" customFormat="1">
      <c r="A30" s="483">
        <f t="shared" si="17"/>
        <v>23</v>
      </c>
      <c r="B30" s="249">
        <v>5</v>
      </c>
      <c r="C30" s="1062" t="s">
        <v>704</v>
      </c>
      <c r="D30" s="856" t="s">
        <v>652</v>
      </c>
      <c r="E30" s="1061" t="s">
        <v>1257</v>
      </c>
      <c r="F30" s="859" t="s">
        <v>652</v>
      </c>
      <c r="G30" s="1280">
        <f t="shared" si="0"/>
        <v>0</v>
      </c>
      <c r="H30" s="1281">
        <f t="shared" si="1"/>
        <v>0</v>
      </c>
      <c r="I30" s="1281">
        <f t="shared" si="2"/>
        <v>0</v>
      </c>
      <c r="J30" s="1668" t="str">
        <f t="shared" si="3"/>
        <v>-</v>
      </c>
      <c r="K30" s="1280">
        <f t="shared" si="4"/>
        <v>0</v>
      </c>
      <c r="L30" s="1281">
        <f t="shared" si="5"/>
        <v>0</v>
      </c>
      <c r="M30" s="1281">
        <f t="shared" si="6"/>
        <v>0</v>
      </c>
      <c r="N30" s="1668" t="str">
        <f t="shared" si="7"/>
        <v>-</v>
      </c>
      <c r="O30" s="1047"/>
      <c r="P30" s="1048"/>
      <c r="Q30" s="1048"/>
      <c r="R30" s="1699" t="str">
        <f t="shared" si="8"/>
        <v>-</v>
      </c>
      <c r="S30" s="1047"/>
      <c r="T30" s="1048"/>
      <c r="U30" s="1048"/>
      <c r="V30" s="1699" t="str">
        <f t="shared" si="9"/>
        <v>-</v>
      </c>
      <c r="W30" s="1047"/>
      <c r="X30" s="1048"/>
      <c r="Y30" s="1048"/>
      <c r="Z30" s="1699" t="str">
        <f t="shared" si="10"/>
        <v>-</v>
      </c>
      <c r="AA30" s="1047"/>
      <c r="AB30" s="1048"/>
      <c r="AC30" s="1048"/>
      <c r="AD30" s="1699" t="str">
        <f t="shared" si="11"/>
        <v>-</v>
      </c>
      <c r="AE30" s="1280">
        <f t="shared" si="16"/>
        <v>0</v>
      </c>
      <c r="AF30" s="1281">
        <f t="shared" si="16"/>
        <v>0</v>
      </c>
      <c r="AG30" s="1281">
        <f t="shared" si="16"/>
        <v>0</v>
      </c>
      <c r="AH30" s="1668" t="str">
        <f t="shared" si="12"/>
        <v>-</v>
      </c>
      <c r="AI30" s="1047"/>
      <c r="AJ30" s="1048"/>
      <c r="AK30" s="1048"/>
      <c r="AL30" s="1699" t="str">
        <f t="shared" si="13"/>
        <v>-</v>
      </c>
      <c r="AM30" s="1047"/>
      <c r="AN30" s="1048"/>
      <c r="AO30" s="1048"/>
      <c r="AP30" s="1699" t="str">
        <f t="shared" si="14"/>
        <v>-</v>
      </c>
      <c r="AQ30" s="1047"/>
      <c r="AR30" s="1048"/>
      <c r="AS30" s="1048"/>
      <c r="AT30" s="1699" t="str">
        <f t="shared" si="15"/>
        <v>-</v>
      </c>
      <c r="AU30" s="442"/>
      <c r="AV30" s="442"/>
      <c r="AW30" s="442"/>
      <c r="AX30" s="442"/>
      <c r="AY30" s="442"/>
    </row>
    <row r="31" spans="1:51" s="449" customFormat="1">
      <c r="A31" s="483">
        <f t="shared" si="17"/>
        <v>24</v>
      </c>
      <c r="B31" s="249">
        <v>8</v>
      </c>
      <c r="C31" s="1062" t="s">
        <v>725</v>
      </c>
      <c r="D31" s="856" t="s">
        <v>657</v>
      </c>
      <c r="E31" s="1061" t="s">
        <v>1257</v>
      </c>
      <c r="F31" s="859" t="s">
        <v>657</v>
      </c>
      <c r="G31" s="1280">
        <f t="shared" si="0"/>
        <v>0</v>
      </c>
      <c r="H31" s="1281">
        <f t="shared" si="1"/>
        <v>0</v>
      </c>
      <c r="I31" s="1281">
        <f t="shared" si="2"/>
        <v>0</v>
      </c>
      <c r="J31" s="1668" t="str">
        <f t="shared" si="3"/>
        <v>-</v>
      </c>
      <c r="K31" s="1280">
        <f t="shared" si="4"/>
        <v>0</v>
      </c>
      <c r="L31" s="1281">
        <f t="shared" si="5"/>
        <v>0</v>
      </c>
      <c r="M31" s="1281">
        <f t="shared" si="6"/>
        <v>0</v>
      </c>
      <c r="N31" s="1668" t="str">
        <f t="shared" si="7"/>
        <v>-</v>
      </c>
      <c r="O31" s="1047"/>
      <c r="P31" s="1048"/>
      <c r="Q31" s="1048"/>
      <c r="R31" s="1699" t="str">
        <f t="shared" si="8"/>
        <v>-</v>
      </c>
      <c r="S31" s="1047"/>
      <c r="T31" s="1048"/>
      <c r="U31" s="1048"/>
      <c r="V31" s="1699" t="str">
        <f t="shared" si="9"/>
        <v>-</v>
      </c>
      <c r="W31" s="1047"/>
      <c r="X31" s="1048"/>
      <c r="Y31" s="1048"/>
      <c r="Z31" s="1699" t="str">
        <f t="shared" si="10"/>
        <v>-</v>
      </c>
      <c r="AA31" s="1047"/>
      <c r="AB31" s="1048"/>
      <c r="AC31" s="1048"/>
      <c r="AD31" s="1699" t="str">
        <f t="shared" si="11"/>
        <v>-</v>
      </c>
      <c r="AE31" s="1280">
        <f t="shared" si="16"/>
        <v>0</v>
      </c>
      <c r="AF31" s="1281">
        <f t="shared" si="16"/>
        <v>0</v>
      </c>
      <c r="AG31" s="1281">
        <f t="shared" si="16"/>
        <v>0</v>
      </c>
      <c r="AH31" s="1668" t="str">
        <f t="shared" si="12"/>
        <v>-</v>
      </c>
      <c r="AI31" s="1047"/>
      <c r="AJ31" s="1048"/>
      <c r="AK31" s="1048"/>
      <c r="AL31" s="1699" t="str">
        <f t="shared" si="13"/>
        <v>-</v>
      </c>
      <c r="AM31" s="1047"/>
      <c r="AN31" s="1048"/>
      <c r="AO31" s="1048"/>
      <c r="AP31" s="1699" t="str">
        <f t="shared" si="14"/>
        <v>-</v>
      </c>
      <c r="AQ31" s="1047"/>
      <c r="AR31" s="1048"/>
      <c r="AS31" s="1048"/>
      <c r="AT31" s="1699" t="str">
        <f t="shared" si="15"/>
        <v>-</v>
      </c>
      <c r="AU31" s="442"/>
      <c r="AV31" s="442"/>
      <c r="AW31" s="442"/>
      <c r="AX31" s="442"/>
      <c r="AY31" s="442"/>
    </row>
    <row r="32" spans="1:51" s="449" customFormat="1">
      <c r="A32" s="483">
        <f t="shared" si="17"/>
        <v>25</v>
      </c>
      <c r="B32" s="249">
        <v>8</v>
      </c>
      <c r="C32" s="1062" t="s">
        <v>699</v>
      </c>
      <c r="D32" s="856" t="s">
        <v>700</v>
      </c>
      <c r="E32" s="1061" t="s">
        <v>1257</v>
      </c>
      <c r="F32" s="859" t="s">
        <v>1016</v>
      </c>
      <c r="G32" s="1280">
        <f t="shared" si="0"/>
        <v>0</v>
      </c>
      <c r="H32" s="1281">
        <f t="shared" si="1"/>
        <v>0</v>
      </c>
      <c r="I32" s="1281">
        <f t="shared" si="2"/>
        <v>0</v>
      </c>
      <c r="J32" s="1668" t="str">
        <f t="shared" si="3"/>
        <v>-</v>
      </c>
      <c r="K32" s="1280">
        <f t="shared" si="4"/>
        <v>0</v>
      </c>
      <c r="L32" s="1281">
        <f t="shared" si="5"/>
        <v>0</v>
      </c>
      <c r="M32" s="1281">
        <f t="shared" si="6"/>
        <v>0</v>
      </c>
      <c r="N32" s="1668" t="str">
        <f t="shared" si="7"/>
        <v>-</v>
      </c>
      <c r="O32" s="1047"/>
      <c r="P32" s="1048"/>
      <c r="Q32" s="1048"/>
      <c r="R32" s="1699" t="str">
        <f t="shared" si="8"/>
        <v>-</v>
      </c>
      <c r="S32" s="1047"/>
      <c r="T32" s="1048"/>
      <c r="U32" s="1048"/>
      <c r="V32" s="1699" t="str">
        <f t="shared" si="9"/>
        <v>-</v>
      </c>
      <c r="W32" s="1047"/>
      <c r="X32" s="1048"/>
      <c r="Y32" s="1048"/>
      <c r="Z32" s="1699" t="str">
        <f t="shared" si="10"/>
        <v>-</v>
      </c>
      <c r="AA32" s="1047"/>
      <c r="AB32" s="1048"/>
      <c r="AC32" s="1048"/>
      <c r="AD32" s="1699" t="str">
        <f t="shared" si="11"/>
        <v>-</v>
      </c>
      <c r="AE32" s="1280">
        <f t="shared" si="16"/>
        <v>0</v>
      </c>
      <c r="AF32" s="1281">
        <f t="shared" si="16"/>
        <v>0</v>
      </c>
      <c r="AG32" s="1281">
        <f t="shared" si="16"/>
        <v>0</v>
      </c>
      <c r="AH32" s="1668" t="str">
        <f t="shared" si="12"/>
        <v>-</v>
      </c>
      <c r="AI32" s="1047"/>
      <c r="AJ32" s="1048"/>
      <c r="AK32" s="1048"/>
      <c r="AL32" s="1699" t="str">
        <f t="shared" si="13"/>
        <v>-</v>
      </c>
      <c r="AM32" s="1047"/>
      <c r="AN32" s="1048"/>
      <c r="AO32" s="1048"/>
      <c r="AP32" s="1699" t="str">
        <f t="shared" si="14"/>
        <v>-</v>
      </c>
      <c r="AQ32" s="1047"/>
      <c r="AR32" s="1048"/>
      <c r="AS32" s="1048"/>
      <c r="AT32" s="1699" t="str">
        <f t="shared" si="15"/>
        <v>-</v>
      </c>
      <c r="AU32" s="442"/>
      <c r="AV32" s="442"/>
      <c r="AW32" s="442"/>
      <c r="AX32" s="442"/>
      <c r="AY32" s="442"/>
    </row>
    <row r="33" spans="1:51" s="449" customFormat="1">
      <c r="A33" s="483">
        <f t="shared" si="17"/>
        <v>26</v>
      </c>
      <c r="B33" s="249">
        <v>8</v>
      </c>
      <c r="C33" s="1062" t="s">
        <v>697</v>
      </c>
      <c r="D33" s="856" t="s">
        <v>698</v>
      </c>
      <c r="E33" s="1061" t="s">
        <v>1257</v>
      </c>
      <c r="F33" s="859" t="s">
        <v>650</v>
      </c>
      <c r="G33" s="1280">
        <f t="shared" si="0"/>
        <v>8694</v>
      </c>
      <c r="H33" s="1281">
        <f t="shared" si="1"/>
        <v>953</v>
      </c>
      <c r="I33" s="1281">
        <f t="shared" si="2"/>
        <v>953</v>
      </c>
      <c r="J33" s="1668">
        <f t="shared" si="3"/>
        <v>1</v>
      </c>
      <c r="K33" s="1280">
        <f t="shared" si="4"/>
        <v>8694</v>
      </c>
      <c r="L33" s="1281">
        <f t="shared" si="5"/>
        <v>953</v>
      </c>
      <c r="M33" s="1281">
        <f t="shared" si="6"/>
        <v>953</v>
      </c>
      <c r="N33" s="1668">
        <f t="shared" si="7"/>
        <v>1</v>
      </c>
      <c r="O33" s="1047"/>
      <c r="P33" s="1048"/>
      <c r="Q33" s="1048"/>
      <c r="R33" s="1699" t="str">
        <f t="shared" si="8"/>
        <v>-</v>
      </c>
      <c r="S33" s="1047"/>
      <c r="T33" s="1048"/>
      <c r="U33" s="1048"/>
      <c r="V33" s="1699" t="str">
        <f t="shared" si="9"/>
        <v>-</v>
      </c>
      <c r="W33" s="1047">
        <v>8694</v>
      </c>
      <c r="X33" s="1048">
        <v>953</v>
      </c>
      <c r="Y33" s="1048">
        <v>953</v>
      </c>
      <c r="Z33" s="1699">
        <f t="shared" si="10"/>
        <v>1</v>
      </c>
      <c r="AA33" s="1047"/>
      <c r="AB33" s="1048"/>
      <c r="AC33" s="1048"/>
      <c r="AD33" s="1699" t="str">
        <f t="shared" si="11"/>
        <v>-</v>
      </c>
      <c r="AE33" s="1280">
        <f t="shared" si="16"/>
        <v>0</v>
      </c>
      <c r="AF33" s="1281">
        <f t="shared" si="16"/>
        <v>0</v>
      </c>
      <c r="AG33" s="1281">
        <f t="shared" si="16"/>
        <v>0</v>
      </c>
      <c r="AH33" s="1668" t="str">
        <f t="shared" si="12"/>
        <v>-</v>
      </c>
      <c r="AI33" s="1047"/>
      <c r="AJ33" s="1048"/>
      <c r="AK33" s="1048"/>
      <c r="AL33" s="1699" t="str">
        <f t="shared" si="13"/>
        <v>-</v>
      </c>
      <c r="AM33" s="1047"/>
      <c r="AN33" s="1048"/>
      <c r="AO33" s="1048"/>
      <c r="AP33" s="1699" t="str">
        <f t="shared" si="14"/>
        <v>-</v>
      </c>
      <c r="AQ33" s="1047"/>
      <c r="AR33" s="1048"/>
      <c r="AS33" s="1048"/>
      <c r="AT33" s="1699" t="str">
        <f t="shared" si="15"/>
        <v>-</v>
      </c>
      <c r="AU33" s="442"/>
      <c r="AV33" s="442"/>
      <c r="AW33" s="442"/>
      <c r="AX33" s="442"/>
      <c r="AY33" s="442"/>
    </row>
    <row r="34" spans="1:51" s="449" customFormat="1">
      <c r="A34" s="483">
        <f t="shared" si="17"/>
        <v>27</v>
      </c>
      <c r="B34" s="249">
        <v>3</v>
      </c>
      <c r="C34" s="1062" t="s">
        <v>705</v>
      </c>
      <c r="D34" s="856" t="s">
        <v>653</v>
      </c>
      <c r="E34" s="1061" t="s">
        <v>1257</v>
      </c>
      <c r="F34" s="859" t="s">
        <v>653</v>
      </c>
      <c r="G34" s="1280">
        <f t="shared" si="0"/>
        <v>0</v>
      </c>
      <c r="H34" s="1281">
        <f t="shared" si="1"/>
        <v>0</v>
      </c>
      <c r="I34" s="1281">
        <f t="shared" si="2"/>
        <v>0</v>
      </c>
      <c r="J34" s="1668" t="str">
        <f t="shared" si="3"/>
        <v>-</v>
      </c>
      <c r="K34" s="1280">
        <f t="shared" si="4"/>
        <v>0</v>
      </c>
      <c r="L34" s="1281">
        <f t="shared" si="5"/>
        <v>0</v>
      </c>
      <c r="M34" s="1281">
        <f t="shared" si="6"/>
        <v>0</v>
      </c>
      <c r="N34" s="1668" t="str">
        <f t="shared" si="7"/>
        <v>-</v>
      </c>
      <c r="O34" s="1047"/>
      <c r="P34" s="1048"/>
      <c r="Q34" s="1048"/>
      <c r="R34" s="1699" t="str">
        <f t="shared" si="8"/>
        <v>-</v>
      </c>
      <c r="S34" s="1047"/>
      <c r="T34" s="1048"/>
      <c r="U34" s="1048"/>
      <c r="V34" s="1699" t="str">
        <f t="shared" si="9"/>
        <v>-</v>
      </c>
      <c r="W34" s="1047"/>
      <c r="X34" s="1048"/>
      <c r="Y34" s="1048"/>
      <c r="Z34" s="1699" t="str">
        <f t="shared" si="10"/>
        <v>-</v>
      </c>
      <c r="AA34" s="1047"/>
      <c r="AB34" s="1048"/>
      <c r="AC34" s="1048"/>
      <c r="AD34" s="1699" t="str">
        <f t="shared" si="11"/>
        <v>-</v>
      </c>
      <c r="AE34" s="1280">
        <f t="shared" si="16"/>
        <v>0</v>
      </c>
      <c r="AF34" s="1281">
        <f t="shared" si="16"/>
        <v>0</v>
      </c>
      <c r="AG34" s="1281">
        <f t="shared" si="16"/>
        <v>0</v>
      </c>
      <c r="AH34" s="1668" t="str">
        <f t="shared" si="12"/>
        <v>-</v>
      </c>
      <c r="AI34" s="1047"/>
      <c r="AJ34" s="1048"/>
      <c r="AK34" s="1048"/>
      <c r="AL34" s="1699" t="str">
        <f t="shared" si="13"/>
        <v>-</v>
      </c>
      <c r="AM34" s="1047"/>
      <c r="AN34" s="1048"/>
      <c r="AO34" s="1048"/>
      <c r="AP34" s="1699" t="str">
        <f t="shared" si="14"/>
        <v>-</v>
      </c>
      <c r="AQ34" s="1047"/>
      <c r="AR34" s="1048"/>
      <c r="AS34" s="1048"/>
      <c r="AT34" s="1699" t="str">
        <f t="shared" si="15"/>
        <v>-</v>
      </c>
      <c r="AU34" s="442"/>
      <c r="AV34" s="442"/>
      <c r="AW34" s="442"/>
      <c r="AX34" s="442"/>
      <c r="AY34" s="442"/>
    </row>
    <row r="35" spans="1:51" s="449" customFormat="1">
      <c r="A35" s="483">
        <f t="shared" si="17"/>
        <v>28</v>
      </c>
      <c r="B35" s="249">
        <v>4</v>
      </c>
      <c r="C35" s="1062" t="s">
        <v>714</v>
      </c>
      <c r="D35" s="856" t="s">
        <v>655</v>
      </c>
      <c r="E35" s="1061" t="s">
        <v>1264</v>
      </c>
      <c r="F35" s="859" t="s">
        <v>655</v>
      </c>
      <c r="G35" s="1280">
        <f t="shared" si="0"/>
        <v>0</v>
      </c>
      <c r="H35" s="1281">
        <f t="shared" si="1"/>
        <v>40</v>
      </c>
      <c r="I35" s="1281">
        <f t="shared" si="2"/>
        <v>40</v>
      </c>
      <c r="J35" s="1668">
        <f t="shared" si="3"/>
        <v>1</v>
      </c>
      <c r="K35" s="1280">
        <f t="shared" si="4"/>
        <v>0</v>
      </c>
      <c r="L35" s="1281">
        <f t="shared" si="5"/>
        <v>40</v>
      </c>
      <c r="M35" s="1281">
        <f t="shared" si="6"/>
        <v>40</v>
      </c>
      <c r="N35" s="1668">
        <f t="shared" si="7"/>
        <v>1</v>
      </c>
      <c r="O35" s="1047"/>
      <c r="P35" s="1048"/>
      <c r="Q35" s="1048"/>
      <c r="R35" s="1699" t="str">
        <f t="shared" si="8"/>
        <v>-</v>
      </c>
      <c r="S35" s="1047"/>
      <c r="T35" s="1048"/>
      <c r="U35" s="1048"/>
      <c r="V35" s="1699" t="str">
        <f t="shared" si="9"/>
        <v>-</v>
      </c>
      <c r="W35" s="1047"/>
      <c r="X35" s="1048">
        <v>40</v>
      </c>
      <c r="Y35" s="1048">
        <v>40</v>
      </c>
      <c r="Z35" s="1699">
        <f t="shared" si="10"/>
        <v>1</v>
      </c>
      <c r="AA35" s="1047"/>
      <c r="AB35" s="1048"/>
      <c r="AC35" s="1048"/>
      <c r="AD35" s="1699" t="str">
        <f t="shared" si="11"/>
        <v>-</v>
      </c>
      <c r="AE35" s="1280">
        <f t="shared" si="16"/>
        <v>0</v>
      </c>
      <c r="AF35" s="1281">
        <f t="shared" si="16"/>
        <v>0</v>
      </c>
      <c r="AG35" s="1281">
        <f t="shared" si="16"/>
        <v>0</v>
      </c>
      <c r="AH35" s="1668" t="str">
        <f t="shared" si="12"/>
        <v>-</v>
      </c>
      <c r="AI35" s="1047"/>
      <c r="AJ35" s="1048"/>
      <c r="AK35" s="1048"/>
      <c r="AL35" s="1699" t="str">
        <f t="shared" si="13"/>
        <v>-</v>
      </c>
      <c r="AM35" s="1047"/>
      <c r="AN35" s="1048"/>
      <c r="AO35" s="1048"/>
      <c r="AP35" s="1699" t="str">
        <f t="shared" si="14"/>
        <v>-</v>
      </c>
      <c r="AQ35" s="1047"/>
      <c r="AR35" s="1048"/>
      <c r="AS35" s="1048"/>
      <c r="AT35" s="1699" t="str">
        <f t="shared" si="15"/>
        <v>-</v>
      </c>
      <c r="AU35" s="442"/>
      <c r="AV35" s="442"/>
      <c r="AW35" s="442"/>
      <c r="AX35" s="442"/>
      <c r="AY35" s="442"/>
    </row>
    <row r="36" spans="1:51" s="449" customFormat="1">
      <c r="A36" s="483">
        <f t="shared" si="17"/>
        <v>29</v>
      </c>
      <c r="B36" s="249">
        <v>8</v>
      </c>
      <c r="C36" s="1059" t="s">
        <v>706</v>
      </c>
      <c r="D36" s="860" t="s">
        <v>654</v>
      </c>
      <c r="E36" s="1061" t="s">
        <v>1257</v>
      </c>
      <c r="F36" s="861" t="s">
        <v>654</v>
      </c>
      <c r="G36" s="1280">
        <f t="shared" si="0"/>
        <v>36446</v>
      </c>
      <c r="H36" s="1281">
        <f t="shared" si="1"/>
        <v>14298</v>
      </c>
      <c r="I36" s="1281">
        <f t="shared" si="2"/>
        <v>11763</v>
      </c>
      <c r="J36" s="1668">
        <f t="shared" si="3"/>
        <v>0.82270247587075118</v>
      </c>
      <c r="K36" s="1280">
        <f t="shared" si="4"/>
        <v>23947</v>
      </c>
      <c r="L36" s="1281">
        <f t="shared" si="5"/>
        <v>14298</v>
      </c>
      <c r="M36" s="1281">
        <f t="shared" si="6"/>
        <v>11763</v>
      </c>
      <c r="N36" s="1668">
        <f t="shared" si="7"/>
        <v>0.82270247587075118</v>
      </c>
      <c r="O36" s="1047">
        <v>4500</v>
      </c>
      <c r="P36" s="1048">
        <v>8297</v>
      </c>
      <c r="Q36" s="1048">
        <v>8297</v>
      </c>
      <c r="R36" s="1699">
        <f t="shared" si="8"/>
        <v>1</v>
      </c>
      <c r="S36" s="1047">
        <v>500</v>
      </c>
      <c r="T36" s="1048">
        <f>422+8+2533+2</f>
        <v>2965</v>
      </c>
      <c r="U36" s="1048">
        <f>422+8</f>
        <v>430</v>
      </c>
      <c r="V36" s="1699">
        <f t="shared" si="9"/>
        <v>0.14502529510961215</v>
      </c>
      <c r="W36" s="1047">
        <v>18947</v>
      </c>
      <c r="X36" s="1048">
        <f>3027+8+1</f>
        <v>3036</v>
      </c>
      <c r="Y36" s="1048">
        <f>3027+8+1</f>
        <v>3036</v>
      </c>
      <c r="Z36" s="1699">
        <f t="shared" si="10"/>
        <v>1</v>
      </c>
      <c r="AA36" s="1047"/>
      <c r="AB36" s="1048"/>
      <c r="AC36" s="1048"/>
      <c r="AD36" s="1699" t="str">
        <f t="shared" si="11"/>
        <v>-</v>
      </c>
      <c r="AE36" s="1280">
        <f t="shared" si="16"/>
        <v>12499</v>
      </c>
      <c r="AF36" s="1281">
        <f t="shared" si="16"/>
        <v>0</v>
      </c>
      <c r="AG36" s="1281">
        <f t="shared" si="16"/>
        <v>0</v>
      </c>
      <c r="AH36" s="1668" t="str">
        <f t="shared" si="12"/>
        <v>-</v>
      </c>
      <c r="AI36" s="1047">
        <v>2499</v>
      </c>
      <c r="AJ36" s="1048">
        <v>0</v>
      </c>
      <c r="AK36" s="1048"/>
      <c r="AL36" s="1699" t="str">
        <f t="shared" si="13"/>
        <v>-</v>
      </c>
      <c r="AM36" s="1047">
        <v>10000</v>
      </c>
      <c r="AN36" s="1048">
        <v>0</v>
      </c>
      <c r="AO36" s="1048"/>
      <c r="AP36" s="1699" t="str">
        <f t="shared" si="14"/>
        <v>-</v>
      </c>
      <c r="AQ36" s="1047"/>
      <c r="AR36" s="1048"/>
      <c r="AS36" s="1048"/>
      <c r="AT36" s="1699" t="str">
        <f t="shared" si="15"/>
        <v>-</v>
      </c>
      <c r="AU36" s="442"/>
      <c r="AV36" s="442"/>
      <c r="AW36" s="442"/>
      <c r="AX36" s="442"/>
      <c r="AY36" s="442"/>
    </row>
    <row r="37" spans="1:51" s="449" customFormat="1" ht="24">
      <c r="A37" s="483">
        <f t="shared" si="17"/>
        <v>30</v>
      </c>
      <c r="B37" s="1781">
        <v>7</v>
      </c>
      <c r="C37" s="1059" t="s">
        <v>703</v>
      </c>
      <c r="D37" s="860" t="s">
        <v>1290</v>
      </c>
      <c r="E37" s="1061" t="s">
        <v>1279</v>
      </c>
      <c r="F37" s="861" t="s">
        <v>1281</v>
      </c>
      <c r="G37" s="1280">
        <f t="shared" si="0"/>
        <v>0</v>
      </c>
      <c r="H37" s="1281">
        <f t="shared" si="1"/>
        <v>0</v>
      </c>
      <c r="I37" s="1281">
        <f t="shared" si="2"/>
        <v>0</v>
      </c>
      <c r="J37" s="1668" t="str">
        <f t="shared" si="3"/>
        <v>-</v>
      </c>
      <c r="K37" s="1280">
        <f t="shared" si="4"/>
        <v>0</v>
      </c>
      <c r="L37" s="1281">
        <f t="shared" si="5"/>
        <v>0</v>
      </c>
      <c r="M37" s="1281">
        <f t="shared" si="6"/>
        <v>0</v>
      </c>
      <c r="N37" s="1668" t="str">
        <f t="shared" si="7"/>
        <v>-</v>
      </c>
      <c r="O37" s="1047"/>
      <c r="P37" s="1048"/>
      <c r="Q37" s="1048"/>
      <c r="R37" s="1699" t="str">
        <f t="shared" si="8"/>
        <v>-</v>
      </c>
      <c r="S37" s="1047"/>
      <c r="T37" s="1048"/>
      <c r="U37" s="1048"/>
      <c r="V37" s="1699" t="str">
        <f t="shared" si="9"/>
        <v>-</v>
      </c>
      <c r="W37" s="1047"/>
      <c r="X37" s="1048"/>
      <c r="Y37" s="1048"/>
      <c r="Z37" s="1699" t="str">
        <f t="shared" si="10"/>
        <v>-</v>
      </c>
      <c r="AA37" s="1047"/>
      <c r="AB37" s="1048"/>
      <c r="AC37" s="1048"/>
      <c r="AD37" s="1699" t="str">
        <f t="shared" si="11"/>
        <v>-</v>
      </c>
      <c r="AE37" s="1280">
        <f>+AI37+AM37+AQ37</f>
        <v>0</v>
      </c>
      <c r="AF37" s="1281">
        <f>+AJ37+AN37+AR37</f>
        <v>0</v>
      </c>
      <c r="AG37" s="1281">
        <f>+AK37+AO37+AS37</f>
        <v>0</v>
      </c>
      <c r="AH37" s="1668" t="str">
        <f t="shared" si="12"/>
        <v>-</v>
      </c>
      <c r="AI37" s="1047"/>
      <c r="AJ37" s="1048"/>
      <c r="AK37" s="1048"/>
      <c r="AL37" s="1699" t="str">
        <f t="shared" si="13"/>
        <v>-</v>
      </c>
      <c r="AM37" s="1047"/>
      <c r="AN37" s="1048"/>
      <c r="AO37" s="1048"/>
      <c r="AP37" s="1699" t="str">
        <f t="shared" si="14"/>
        <v>-</v>
      </c>
      <c r="AQ37" s="1047"/>
      <c r="AR37" s="1048"/>
      <c r="AS37" s="1048"/>
      <c r="AT37" s="1699" t="str">
        <f t="shared" si="15"/>
        <v>-</v>
      </c>
      <c r="AU37" s="442"/>
      <c r="AV37" s="442"/>
      <c r="AW37" s="442"/>
      <c r="AX37" s="442"/>
      <c r="AY37" s="442"/>
    </row>
    <row r="38" spans="1:51" s="449" customFormat="1" ht="24">
      <c r="A38" s="483">
        <f t="shared" si="17"/>
        <v>31</v>
      </c>
      <c r="B38" s="1781">
        <v>7</v>
      </c>
      <c r="C38" s="1059" t="s">
        <v>703</v>
      </c>
      <c r="D38" s="860" t="s">
        <v>1290</v>
      </c>
      <c r="E38" s="1061" t="s">
        <v>1279</v>
      </c>
      <c r="F38" s="861" t="s">
        <v>1282</v>
      </c>
      <c r="G38" s="1280">
        <f t="shared" si="0"/>
        <v>0</v>
      </c>
      <c r="H38" s="1281">
        <f t="shared" si="1"/>
        <v>0</v>
      </c>
      <c r="I38" s="1281">
        <f t="shared" si="2"/>
        <v>0</v>
      </c>
      <c r="J38" s="1668" t="str">
        <f t="shared" si="3"/>
        <v>-</v>
      </c>
      <c r="K38" s="1280">
        <f t="shared" si="4"/>
        <v>0</v>
      </c>
      <c r="L38" s="1281">
        <f t="shared" si="5"/>
        <v>0</v>
      </c>
      <c r="M38" s="1281">
        <f t="shared" si="6"/>
        <v>0</v>
      </c>
      <c r="N38" s="1668" t="str">
        <f t="shared" si="7"/>
        <v>-</v>
      </c>
      <c r="O38" s="1047"/>
      <c r="P38" s="1048"/>
      <c r="Q38" s="1048"/>
      <c r="R38" s="1699" t="str">
        <f t="shared" si="8"/>
        <v>-</v>
      </c>
      <c r="S38" s="1047"/>
      <c r="T38" s="1048"/>
      <c r="U38" s="1048"/>
      <c r="V38" s="1699" t="str">
        <f t="shared" si="9"/>
        <v>-</v>
      </c>
      <c r="W38" s="1047"/>
      <c r="X38" s="1048"/>
      <c r="Y38" s="1048"/>
      <c r="Z38" s="1699" t="str">
        <f t="shared" si="10"/>
        <v>-</v>
      </c>
      <c r="AA38" s="1047"/>
      <c r="AB38" s="1048"/>
      <c r="AC38" s="1048"/>
      <c r="AD38" s="1699" t="str">
        <f t="shared" si="11"/>
        <v>-</v>
      </c>
      <c r="AE38" s="1280">
        <f t="shared" si="16"/>
        <v>0</v>
      </c>
      <c r="AF38" s="1281">
        <f t="shared" si="16"/>
        <v>0</v>
      </c>
      <c r="AG38" s="1281">
        <f t="shared" si="16"/>
        <v>0</v>
      </c>
      <c r="AH38" s="1668" t="str">
        <f t="shared" si="12"/>
        <v>-</v>
      </c>
      <c r="AI38" s="1047"/>
      <c r="AJ38" s="1048"/>
      <c r="AK38" s="1048"/>
      <c r="AL38" s="1699" t="str">
        <f t="shared" si="13"/>
        <v>-</v>
      </c>
      <c r="AM38" s="1047"/>
      <c r="AN38" s="1048"/>
      <c r="AO38" s="1048"/>
      <c r="AP38" s="1699" t="str">
        <f t="shared" si="14"/>
        <v>-</v>
      </c>
      <c r="AQ38" s="1047"/>
      <c r="AR38" s="1048"/>
      <c r="AS38" s="1048"/>
      <c r="AT38" s="1699" t="str">
        <f t="shared" si="15"/>
        <v>-</v>
      </c>
      <c r="AU38" s="442"/>
      <c r="AV38" s="442"/>
      <c r="AW38" s="442"/>
      <c r="AX38" s="442"/>
      <c r="AY38" s="442"/>
    </row>
    <row r="39" spans="1:51" s="449" customFormat="1" ht="24">
      <c r="A39" s="483">
        <f t="shared" si="17"/>
        <v>32</v>
      </c>
      <c r="B39" s="1781">
        <v>7</v>
      </c>
      <c r="C39" s="1059" t="s">
        <v>703</v>
      </c>
      <c r="D39" s="860" t="s">
        <v>1290</v>
      </c>
      <c r="E39" s="1061" t="s">
        <v>1279</v>
      </c>
      <c r="F39" s="861" t="s">
        <v>1283</v>
      </c>
      <c r="G39" s="1280">
        <f t="shared" si="0"/>
        <v>0</v>
      </c>
      <c r="H39" s="1281">
        <f t="shared" si="1"/>
        <v>177800</v>
      </c>
      <c r="I39" s="1281">
        <f t="shared" si="2"/>
        <v>177800</v>
      </c>
      <c r="J39" s="1668">
        <f t="shared" si="3"/>
        <v>1</v>
      </c>
      <c r="K39" s="1280">
        <f t="shared" si="4"/>
        <v>0</v>
      </c>
      <c r="L39" s="1281">
        <f t="shared" si="5"/>
        <v>35086</v>
      </c>
      <c r="M39" s="1281">
        <f t="shared" si="6"/>
        <v>35086</v>
      </c>
      <c r="N39" s="1668">
        <f t="shared" si="7"/>
        <v>1</v>
      </c>
      <c r="O39" s="1047"/>
      <c r="P39" s="1048">
        <v>35086</v>
      </c>
      <c r="Q39" s="1048">
        <v>35086</v>
      </c>
      <c r="R39" s="1699">
        <f t="shared" si="8"/>
        <v>1</v>
      </c>
      <c r="S39" s="1047"/>
      <c r="T39" s="1048"/>
      <c r="U39" s="1048"/>
      <c r="V39" s="1699" t="str">
        <f t="shared" si="9"/>
        <v>-</v>
      </c>
      <c r="W39" s="1047"/>
      <c r="X39" s="1048"/>
      <c r="Y39" s="1048"/>
      <c r="Z39" s="1699" t="str">
        <f t="shared" si="10"/>
        <v>-</v>
      </c>
      <c r="AA39" s="1047"/>
      <c r="AB39" s="1048"/>
      <c r="AC39" s="1048"/>
      <c r="AD39" s="1699" t="str">
        <f t="shared" si="11"/>
        <v>-</v>
      </c>
      <c r="AE39" s="1280">
        <f t="shared" si="16"/>
        <v>0</v>
      </c>
      <c r="AF39" s="1281">
        <f t="shared" si="16"/>
        <v>142714</v>
      </c>
      <c r="AG39" s="1281">
        <f t="shared" si="16"/>
        <v>142714</v>
      </c>
      <c r="AH39" s="1668">
        <f t="shared" si="12"/>
        <v>1</v>
      </c>
      <c r="AI39" s="1047"/>
      <c r="AJ39" s="1048">
        <f>0+142714</f>
        <v>142714</v>
      </c>
      <c r="AK39" s="1048">
        <v>142714</v>
      </c>
      <c r="AL39" s="1699">
        <f t="shared" si="13"/>
        <v>1</v>
      </c>
      <c r="AM39" s="1047"/>
      <c r="AN39" s="1048"/>
      <c r="AO39" s="1048"/>
      <c r="AP39" s="1699" t="str">
        <f t="shared" si="14"/>
        <v>-</v>
      </c>
      <c r="AQ39" s="1047"/>
      <c r="AR39" s="1048"/>
      <c r="AS39" s="1048"/>
      <c r="AT39" s="1699" t="str">
        <f t="shared" si="15"/>
        <v>-</v>
      </c>
      <c r="AU39" s="442"/>
      <c r="AV39" s="442"/>
      <c r="AW39" s="442"/>
      <c r="AX39" s="442"/>
      <c r="AY39" s="442"/>
    </row>
    <row r="40" spans="1:51" s="449" customFormat="1" ht="24">
      <c r="A40" s="483">
        <f t="shared" si="17"/>
        <v>33</v>
      </c>
      <c r="B40" s="1781">
        <v>7</v>
      </c>
      <c r="C40" s="1059" t="s">
        <v>1286</v>
      </c>
      <c r="D40" s="860" t="s">
        <v>1284</v>
      </c>
      <c r="E40" s="1061" t="s">
        <v>1257</v>
      </c>
      <c r="F40" s="861" t="s">
        <v>1285</v>
      </c>
      <c r="G40" s="1280">
        <f t="shared" ref="G40:G71" si="18">+K40+AE40</f>
        <v>0</v>
      </c>
      <c r="H40" s="1281">
        <f t="shared" ref="H40:H71" si="19">+L40+AF40</f>
        <v>0</v>
      </c>
      <c r="I40" s="1281">
        <f t="shared" ref="I40:I71" si="20">+M40+AG40</f>
        <v>0</v>
      </c>
      <c r="J40" s="1668" t="str">
        <f t="shared" si="3"/>
        <v>-</v>
      </c>
      <c r="K40" s="1280">
        <f t="shared" ref="K40:K71" si="21">+O40+S40+W40+AA40</f>
        <v>0</v>
      </c>
      <c r="L40" s="1281">
        <f t="shared" ref="L40:L71" si="22">+P40+T40+X40+AB40</f>
        <v>0</v>
      </c>
      <c r="M40" s="1281">
        <f t="shared" ref="M40:M71" si="23">+Q40+U40+Y40+AC40</f>
        <v>0</v>
      </c>
      <c r="N40" s="1668" t="str">
        <f t="shared" si="7"/>
        <v>-</v>
      </c>
      <c r="O40" s="1047"/>
      <c r="P40" s="1048"/>
      <c r="Q40" s="1048"/>
      <c r="R40" s="1699" t="str">
        <f t="shared" si="8"/>
        <v>-</v>
      </c>
      <c r="S40" s="1047"/>
      <c r="T40" s="1048"/>
      <c r="U40" s="1048"/>
      <c r="V40" s="1699" t="str">
        <f t="shared" si="9"/>
        <v>-</v>
      </c>
      <c r="W40" s="1047"/>
      <c r="X40" s="1048"/>
      <c r="Y40" s="1048"/>
      <c r="Z40" s="1699" t="str">
        <f t="shared" si="10"/>
        <v>-</v>
      </c>
      <c r="AA40" s="1047"/>
      <c r="AB40" s="1048"/>
      <c r="AC40" s="1048"/>
      <c r="AD40" s="1699" t="str">
        <f t="shared" si="11"/>
        <v>-</v>
      </c>
      <c r="AE40" s="1280">
        <f t="shared" si="16"/>
        <v>0</v>
      </c>
      <c r="AF40" s="1281">
        <f t="shared" si="16"/>
        <v>0</v>
      </c>
      <c r="AG40" s="1281">
        <f t="shared" si="16"/>
        <v>0</v>
      </c>
      <c r="AH40" s="1668" t="str">
        <f t="shared" si="12"/>
        <v>-</v>
      </c>
      <c r="AI40" s="1047"/>
      <c r="AJ40" s="1048"/>
      <c r="AK40" s="1048"/>
      <c r="AL40" s="1699" t="str">
        <f t="shared" si="13"/>
        <v>-</v>
      </c>
      <c r="AM40" s="1047"/>
      <c r="AN40" s="1048"/>
      <c r="AO40" s="1048"/>
      <c r="AP40" s="1699" t="str">
        <f t="shared" si="14"/>
        <v>-</v>
      </c>
      <c r="AQ40" s="1047"/>
      <c r="AR40" s="1048"/>
      <c r="AS40" s="1048"/>
      <c r="AT40" s="1699" t="str">
        <f t="shared" si="15"/>
        <v>-</v>
      </c>
      <c r="AU40" s="442"/>
      <c r="AV40" s="442"/>
      <c r="AW40" s="442"/>
      <c r="AX40" s="442"/>
      <c r="AY40" s="442"/>
    </row>
    <row r="41" spans="1:51" s="449" customFormat="1" ht="24">
      <c r="A41" s="483">
        <f t="shared" si="17"/>
        <v>34</v>
      </c>
      <c r="B41" s="1781">
        <v>7</v>
      </c>
      <c r="C41" s="1059" t="s">
        <v>1087</v>
      </c>
      <c r="D41" s="860" t="s">
        <v>1289</v>
      </c>
      <c r="E41" s="1061" t="s">
        <v>1257</v>
      </c>
      <c r="F41" s="861" t="s">
        <v>1288</v>
      </c>
      <c r="G41" s="1280">
        <f t="shared" si="18"/>
        <v>0</v>
      </c>
      <c r="H41" s="1281">
        <f t="shared" si="19"/>
        <v>0</v>
      </c>
      <c r="I41" s="1281">
        <f t="shared" si="20"/>
        <v>0</v>
      </c>
      <c r="J41" s="1668" t="str">
        <f t="shared" si="3"/>
        <v>-</v>
      </c>
      <c r="K41" s="1280">
        <f t="shared" si="21"/>
        <v>0</v>
      </c>
      <c r="L41" s="1281">
        <f t="shared" si="22"/>
        <v>0</v>
      </c>
      <c r="M41" s="1281">
        <f t="shared" si="23"/>
        <v>0</v>
      </c>
      <c r="N41" s="1668" t="str">
        <f t="shared" si="7"/>
        <v>-</v>
      </c>
      <c r="O41" s="1047"/>
      <c r="P41" s="1048"/>
      <c r="Q41" s="1048"/>
      <c r="R41" s="1699" t="str">
        <f t="shared" si="8"/>
        <v>-</v>
      </c>
      <c r="S41" s="1047"/>
      <c r="T41" s="1048"/>
      <c r="U41" s="1048"/>
      <c r="V41" s="1699" t="str">
        <f t="shared" si="9"/>
        <v>-</v>
      </c>
      <c r="W41" s="1047"/>
      <c r="X41" s="1048"/>
      <c r="Y41" s="1048"/>
      <c r="Z41" s="1699" t="str">
        <f t="shared" si="10"/>
        <v>-</v>
      </c>
      <c r="AA41" s="1047"/>
      <c r="AB41" s="1048"/>
      <c r="AC41" s="1048"/>
      <c r="AD41" s="1699" t="str">
        <f t="shared" si="11"/>
        <v>-</v>
      </c>
      <c r="AE41" s="1280">
        <f t="shared" ref="AE41:AG43" si="24">+AI41+AM41+AQ41</f>
        <v>0</v>
      </c>
      <c r="AF41" s="1281">
        <f t="shared" si="24"/>
        <v>0</v>
      </c>
      <c r="AG41" s="1281">
        <f t="shared" si="24"/>
        <v>0</v>
      </c>
      <c r="AH41" s="1668" t="str">
        <f t="shared" si="12"/>
        <v>-</v>
      </c>
      <c r="AI41" s="1047"/>
      <c r="AJ41" s="1048"/>
      <c r="AK41" s="1048"/>
      <c r="AL41" s="1699" t="str">
        <f t="shared" si="13"/>
        <v>-</v>
      </c>
      <c r="AM41" s="1047"/>
      <c r="AN41" s="1048"/>
      <c r="AO41" s="1048"/>
      <c r="AP41" s="1699" t="str">
        <f t="shared" si="14"/>
        <v>-</v>
      </c>
      <c r="AQ41" s="1047"/>
      <c r="AR41" s="1048"/>
      <c r="AS41" s="1048"/>
      <c r="AT41" s="1699" t="str">
        <f t="shared" si="15"/>
        <v>-</v>
      </c>
      <c r="AU41" s="442"/>
      <c r="AV41" s="442"/>
      <c r="AW41" s="442"/>
      <c r="AX41" s="442"/>
      <c r="AY41" s="442"/>
    </row>
    <row r="42" spans="1:51" s="449" customFormat="1" ht="24">
      <c r="A42" s="483">
        <f t="shared" si="17"/>
        <v>35</v>
      </c>
      <c r="B42" s="1781">
        <v>7</v>
      </c>
      <c r="C42" s="1059" t="s">
        <v>1291</v>
      </c>
      <c r="D42" s="860" t="s">
        <v>1292</v>
      </c>
      <c r="E42" s="1061" t="s">
        <v>1257</v>
      </c>
      <c r="F42" s="861" t="s">
        <v>1293</v>
      </c>
      <c r="G42" s="1280">
        <f t="shared" si="18"/>
        <v>0</v>
      </c>
      <c r="H42" s="1281">
        <f t="shared" si="19"/>
        <v>0</v>
      </c>
      <c r="I42" s="1281">
        <f t="shared" si="20"/>
        <v>0</v>
      </c>
      <c r="J42" s="1668" t="str">
        <f t="shared" si="3"/>
        <v>-</v>
      </c>
      <c r="K42" s="1280">
        <f t="shared" si="21"/>
        <v>0</v>
      </c>
      <c r="L42" s="1281">
        <f t="shared" si="22"/>
        <v>0</v>
      </c>
      <c r="M42" s="1281">
        <f t="shared" si="23"/>
        <v>0</v>
      </c>
      <c r="N42" s="1668" t="str">
        <f t="shared" si="7"/>
        <v>-</v>
      </c>
      <c r="O42" s="1047"/>
      <c r="P42" s="1048"/>
      <c r="Q42" s="1048"/>
      <c r="R42" s="1699" t="str">
        <f t="shared" si="8"/>
        <v>-</v>
      </c>
      <c r="S42" s="1047"/>
      <c r="T42" s="1048"/>
      <c r="U42" s="1048"/>
      <c r="V42" s="1699" t="str">
        <f t="shared" si="9"/>
        <v>-</v>
      </c>
      <c r="W42" s="1047"/>
      <c r="X42" s="1048"/>
      <c r="Y42" s="1048"/>
      <c r="Z42" s="1699" t="str">
        <f t="shared" si="10"/>
        <v>-</v>
      </c>
      <c r="AA42" s="1047"/>
      <c r="AB42" s="1048"/>
      <c r="AC42" s="1048"/>
      <c r="AD42" s="1699" t="str">
        <f t="shared" si="11"/>
        <v>-</v>
      </c>
      <c r="AE42" s="1280">
        <f t="shared" si="24"/>
        <v>0</v>
      </c>
      <c r="AF42" s="1281">
        <f t="shared" si="24"/>
        <v>0</v>
      </c>
      <c r="AG42" s="1281">
        <f t="shared" si="24"/>
        <v>0</v>
      </c>
      <c r="AH42" s="1668" t="str">
        <f t="shared" si="12"/>
        <v>-</v>
      </c>
      <c r="AI42" s="1047"/>
      <c r="AJ42" s="1048"/>
      <c r="AK42" s="1048"/>
      <c r="AL42" s="1699" t="str">
        <f t="shared" si="13"/>
        <v>-</v>
      </c>
      <c r="AM42" s="1047"/>
      <c r="AN42" s="1048"/>
      <c r="AO42" s="1048"/>
      <c r="AP42" s="1699" t="str">
        <f t="shared" si="14"/>
        <v>-</v>
      </c>
      <c r="AQ42" s="1047"/>
      <c r="AR42" s="1048"/>
      <c r="AS42" s="1048"/>
      <c r="AT42" s="1699" t="str">
        <f t="shared" si="15"/>
        <v>-</v>
      </c>
      <c r="AU42" s="442"/>
      <c r="AV42" s="442"/>
      <c r="AW42" s="442"/>
      <c r="AX42" s="442"/>
      <c r="AY42" s="442"/>
    </row>
    <row r="43" spans="1:51" s="449" customFormat="1" ht="24">
      <c r="A43" s="483">
        <f t="shared" si="17"/>
        <v>36</v>
      </c>
      <c r="B43" s="1781">
        <v>7</v>
      </c>
      <c r="C43" s="1059" t="s">
        <v>711</v>
      </c>
      <c r="D43" s="860" t="s">
        <v>1295</v>
      </c>
      <c r="E43" s="1061" t="s">
        <v>1260</v>
      </c>
      <c r="F43" s="861" t="s">
        <v>1294</v>
      </c>
      <c r="G43" s="1280">
        <f t="shared" si="18"/>
        <v>0</v>
      </c>
      <c r="H43" s="1281">
        <f t="shared" si="19"/>
        <v>0</v>
      </c>
      <c r="I43" s="1281">
        <f t="shared" si="20"/>
        <v>0</v>
      </c>
      <c r="J43" s="1668" t="str">
        <f t="shared" si="3"/>
        <v>-</v>
      </c>
      <c r="K43" s="1280">
        <f t="shared" si="21"/>
        <v>0</v>
      </c>
      <c r="L43" s="1281">
        <f t="shared" si="22"/>
        <v>0</v>
      </c>
      <c r="M43" s="1281">
        <f t="shared" si="23"/>
        <v>0</v>
      </c>
      <c r="N43" s="1668" t="str">
        <f t="shared" si="7"/>
        <v>-</v>
      </c>
      <c r="O43" s="1047"/>
      <c r="P43" s="1048"/>
      <c r="Q43" s="1048"/>
      <c r="R43" s="1699" t="str">
        <f t="shared" si="8"/>
        <v>-</v>
      </c>
      <c r="S43" s="1047"/>
      <c r="T43" s="1048"/>
      <c r="U43" s="1048"/>
      <c r="V43" s="1699" t="str">
        <f t="shared" si="9"/>
        <v>-</v>
      </c>
      <c r="W43" s="1047"/>
      <c r="X43" s="1048"/>
      <c r="Y43" s="1048"/>
      <c r="Z43" s="1699" t="str">
        <f t="shared" si="10"/>
        <v>-</v>
      </c>
      <c r="AA43" s="1047"/>
      <c r="AB43" s="1048"/>
      <c r="AC43" s="1048"/>
      <c r="AD43" s="1699" t="str">
        <f t="shared" si="11"/>
        <v>-</v>
      </c>
      <c r="AE43" s="1280">
        <f t="shared" si="24"/>
        <v>0</v>
      </c>
      <c r="AF43" s="1281">
        <f t="shared" si="24"/>
        <v>0</v>
      </c>
      <c r="AG43" s="1281">
        <f t="shared" si="24"/>
        <v>0</v>
      </c>
      <c r="AH43" s="1668" t="str">
        <f t="shared" si="12"/>
        <v>-</v>
      </c>
      <c r="AI43" s="1047"/>
      <c r="AJ43" s="1048"/>
      <c r="AK43" s="1048"/>
      <c r="AL43" s="1699" t="str">
        <f t="shared" si="13"/>
        <v>-</v>
      </c>
      <c r="AM43" s="1047"/>
      <c r="AN43" s="1048"/>
      <c r="AO43" s="1048"/>
      <c r="AP43" s="1699" t="str">
        <f t="shared" si="14"/>
        <v>-</v>
      </c>
      <c r="AQ43" s="1047"/>
      <c r="AR43" s="1048"/>
      <c r="AS43" s="1048"/>
      <c r="AT43" s="1699" t="str">
        <f t="shared" si="15"/>
        <v>-</v>
      </c>
      <c r="AU43" s="442"/>
      <c r="AV43" s="442"/>
      <c r="AW43" s="442"/>
      <c r="AX43" s="442"/>
      <c r="AY43" s="442"/>
    </row>
    <row r="44" spans="1:51" s="449" customFormat="1">
      <c r="A44" s="483">
        <f t="shared" si="17"/>
        <v>37</v>
      </c>
      <c r="B44" s="1781">
        <v>7</v>
      </c>
      <c r="C44" s="1062" t="s">
        <v>1296</v>
      </c>
      <c r="D44" s="856" t="s">
        <v>1298</v>
      </c>
      <c r="E44" s="1061" t="s">
        <v>1257</v>
      </c>
      <c r="F44" s="859" t="s">
        <v>1297</v>
      </c>
      <c r="G44" s="1280">
        <f t="shared" si="18"/>
        <v>0</v>
      </c>
      <c r="H44" s="1281">
        <f t="shared" si="19"/>
        <v>0</v>
      </c>
      <c r="I44" s="1281">
        <f t="shared" si="20"/>
        <v>0</v>
      </c>
      <c r="J44" s="1668" t="str">
        <f t="shared" si="3"/>
        <v>-</v>
      </c>
      <c r="K44" s="1280">
        <f t="shared" si="21"/>
        <v>0</v>
      </c>
      <c r="L44" s="1281">
        <f t="shared" si="22"/>
        <v>0</v>
      </c>
      <c r="M44" s="1281">
        <f t="shared" si="23"/>
        <v>0</v>
      </c>
      <c r="N44" s="1668" t="str">
        <f t="shared" si="7"/>
        <v>-</v>
      </c>
      <c r="O44" s="1047"/>
      <c r="P44" s="1048"/>
      <c r="Q44" s="1048"/>
      <c r="R44" s="1699" t="str">
        <f t="shared" si="8"/>
        <v>-</v>
      </c>
      <c r="S44" s="1047"/>
      <c r="T44" s="1048"/>
      <c r="U44" s="1048"/>
      <c r="V44" s="1699" t="str">
        <f t="shared" si="9"/>
        <v>-</v>
      </c>
      <c r="W44" s="1047"/>
      <c r="X44" s="1048"/>
      <c r="Y44" s="1048"/>
      <c r="Z44" s="1699" t="str">
        <f t="shared" si="10"/>
        <v>-</v>
      </c>
      <c r="AA44" s="1047"/>
      <c r="AB44" s="1048"/>
      <c r="AC44" s="1048"/>
      <c r="AD44" s="1699" t="str">
        <f t="shared" si="11"/>
        <v>-</v>
      </c>
      <c r="AE44" s="1280">
        <f t="shared" si="16"/>
        <v>0</v>
      </c>
      <c r="AF44" s="1281">
        <f t="shared" si="16"/>
        <v>0</v>
      </c>
      <c r="AG44" s="1281">
        <f t="shared" si="16"/>
        <v>0</v>
      </c>
      <c r="AH44" s="1668" t="str">
        <f t="shared" si="12"/>
        <v>-</v>
      </c>
      <c r="AI44" s="1047"/>
      <c r="AJ44" s="1048"/>
      <c r="AK44" s="1048"/>
      <c r="AL44" s="1699" t="str">
        <f t="shared" si="13"/>
        <v>-</v>
      </c>
      <c r="AM44" s="1047"/>
      <c r="AN44" s="1048"/>
      <c r="AO44" s="1048"/>
      <c r="AP44" s="1699" t="str">
        <f t="shared" si="14"/>
        <v>-</v>
      </c>
      <c r="AQ44" s="1047"/>
      <c r="AR44" s="1048"/>
      <c r="AS44" s="1048"/>
      <c r="AT44" s="1699" t="str">
        <f t="shared" si="15"/>
        <v>-</v>
      </c>
      <c r="AU44" s="442"/>
      <c r="AV44" s="442"/>
      <c r="AW44" s="442"/>
      <c r="AX44" s="442"/>
      <c r="AY44" s="442"/>
    </row>
    <row r="45" spans="1:51" s="449" customFormat="1">
      <c r="A45" s="483">
        <f t="shared" si="17"/>
        <v>38</v>
      </c>
      <c r="B45" s="1781">
        <v>7</v>
      </c>
      <c r="C45" s="1062" t="s">
        <v>711</v>
      </c>
      <c r="D45" s="856" t="s">
        <v>1300</v>
      </c>
      <c r="E45" s="1061" t="s">
        <v>1260</v>
      </c>
      <c r="F45" s="859" t="s">
        <v>1299</v>
      </c>
      <c r="G45" s="1280">
        <f t="shared" si="18"/>
        <v>0</v>
      </c>
      <c r="H45" s="1281">
        <f t="shared" si="19"/>
        <v>0</v>
      </c>
      <c r="I45" s="1281">
        <f t="shared" si="20"/>
        <v>0</v>
      </c>
      <c r="J45" s="1668" t="str">
        <f t="shared" si="3"/>
        <v>-</v>
      </c>
      <c r="K45" s="1280">
        <f t="shared" si="21"/>
        <v>0</v>
      </c>
      <c r="L45" s="1281">
        <f t="shared" si="22"/>
        <v>0</v>
      </c>
      <c r="M45" s="1281">
        <f t="shared" si="23"/>
        <v>0</v>
      </c>
      <c r="N45" s="1668" t="str">
        <f t="shared" si="7"/>
        <v>-</v>
      </c>
      <c r="O45" s="1047"/>
      <c r="P45" s="1048"/>
      <c r="Q45" s="1048"/>
      <c r="R45" s="1699" t="str">
        <f t="shared" si="8"/>
        <v>-</v>
      </c>
      <c r="S45" s="1047"/>
      <c r="T45" s="1048"/>
      <c r="U45" s="1048"/>
      <c r="V45" s="1699" t="str">
        <f t="shared" si="9"/>
        <v>-</v>
      </c>
      <c r="W45" s="1047"/>
      <c r="X45" s="1048"/>
      <c r="Y45" s="1048"/>
      <c r="Z45" s="1699" t="str">
        <f t="shared" si="10"/>
        <v>-</v>
      </c>
      <c r="AA45" s="1047"/>
      <c r="AB45" s="1048"/>
      <c r="AC45" s="1048"/>
      <c r="AD45" s="1699" t="str">
        <f t="shared" si="11"/>
        <v>-</v>
      </c>
      <c r="AE45" s="1280">
        <f t="shared" si="16"/>
        <v>0</v>
      </c>
      <c r="AF45" s="1281">
        <f t="shared" si="16"/>
        <v>0</v>
      </c>
      <c r="AG45" s="1281">
        <f t="shared" si="16"/>
        <v>0</v>
      </c>
      <c r="AH45" s="1668" t="str">
        <f t="shared" si="12"/>
        <v>-</v>
      </c>
      <c r="AI45" s="1047"/>
      <c r="AJ45" s="1048"/>
      <c r="AK45" s="1048"/>
      <c r="AL45" s="1699" t="str">
        <f t="shared" si="13"/>
        <v>-</v>
      </c>
      <c r="AM45" s="1047"/>
      <c r="AN45" s="1048"/>
      <c r="AO45" s="1048"/>
      <c r="AP45" s="1699" t="str">
        <f t="shared" si="14"/>
        <v>-</v>
      </c>
      <c r="AQ45" s="1047"/>
      <c r="AR45" s="1048"/>
      <c r="AS45" s="1048"/>
      <c r="AT45" s="1699" t="str">
        <f t="shared" si="15"/>
        <v>-</v>
      </c>
      <c r="AU45" s="442"/>
      <c r="AV45" s="442"/>
      <c r="AW45" s="442"/>
      <c r="AX45" s="442"/>
      <c r="AY45" s="442"/>
    </row>
    <row r="46" spans="1:51" s="449" customFormat="1">
      <c r="A46" s="483">
        <f t="shared" si="17"/>
        <v>39</v>
      </c>
      <c r="B46" s="1781">
        <v>7</v>
      </c>
      <c r="C46" s="1062" t="s">
        <v>1032</v>
      </c>
      <c r="D46" s="856" t="s">
        <v>1301</v>
      </c>
      <c r="E46" s="1061" t="s">
        <v>1277</v>
      </c>
      <c r="F46" s="859" t="s">
        <v>1302</v>
      </c>
      <c r="G46" s="1280">
        <f t="shared" si="18"/>
        <v>0</v>
      </c>
      <c r="H46" s="1281">
        <f t="shared" si="19"/>
        <v>0</v>
      </c>
      <c r="I46" s="1281">
        <f t="shared" si="20"/>
        <v>0</v>
      </c>
      <c r="J46" s="1668" t="str">
        <f t="shared" si="3"/>
        <v>-</v>
      </c>
      <c r="K46" s="1280">
        <f t="shared" si="21"/>
        <v>0</v>
      </c>
      <c r="L46" s="1281">
        <f t="shared" si="22"/>
        <v>0</v>
      </c>
      <c r="M46" s="1281">
        <f t="shared" si="23"/>
        <v>0</v>
      </c>
      <c r="N46" s="1668" t="str">
        <f t="shared" si="7"/>
        <v>-</v>
      </c>
      <c r="O46" s="1047"/>
      <c r="P46" s="1048"/>
      <c r="Q46" s="1048"/>
      <c r="R46" s="1699" t="str">
        <f t="shared" si="8"/>
        <v>-</v>
      </c>
      <c r="S46" s="1047"/>
      <c r="T46" s="1048"/>
      <c r="U46" s="1048"/>
      <c r="V46" s="1699" t="str">
        <f t="shared" si="9"/>
        <v>-</v>
      </c>
      <c r="W46" s="1047"/>
      <c r="X46" s="1048"/>
      <c r="Y46" s="1048"/>
      <c r="Z46" s="1699" t="str">
        <f t="shared" si="10"/>
        <v>-</v>
      </c>
      <c r="AA46" s="1047"/>
      <c r="AB46" s="1048"/>
      <c r="AC46" s="1048"/>
      <c r="AD46" s="1699" t="str">
        <f t="shared" si="11"/>
        <v>-</v>
      </c>
      <c r="AE46" s="1280">
        <f t="shared" si="16"/>
        <v>0</v>
      </c>
      <c r="AF46" s="1281">
        <f t="shared" si="16"/>
        <v>0</v>
      </c>
      <c r="AG46" s="1281">
        <f t="shared" si="16"/>
        <v>0</v>
      </c>
      <c r="AH46" s="1668" t="str">
        <f t="shared" si="12"/>
        <v>-</v>
      </c>
      <c r="AI46" s="1047"/>
      <c r="AJ46" s="1048"/>
      <c r="AK46" s="1048"/>
      <c r="AL46" s="1699" t="str">
        <f t="shared" si="13"/>
        <v>-</v>
      </c>
      <c r="AM46" s="1047"/>
      <c r="AN46" s="1048"/>
      <c r="AO46" s="1048"/>
      <c r="AP46" s="1699" t="str">
        <f t="shared" si="14"/>
        <v>-</v>
      </c>
      <c r="AQ46" s="1047"/>
      <c r="AR46" s="1048"/>
      <c r="AS46" s="1048"/>
      <c r="AT46" s="1699" t="str">
        <f t="shared" si="15"/>
        <v>-</v>
      </c>
      <c r="AU46" s="442"/>
      <c r="AV46" s="442"/>
      <c r="AW46" s="442"/>
      <c r="AX46" s="442"/>
      <c r="AY46" s="442"/>
    </row>
    <row r="47" spans="1:51">
      <c r="A47" s="483">
        <f t="shared" si="17"/>
        <v>40</v>
      </c>
      <c r="B47" s="1781">
        <v>7</v>
      </c>
      <c r="C47" s="1062" t="s">
        <v>706</v>
      </c>
      <c r="D47" s="856" t="s">
        <v>1192</v>
      </c>
      <c r="E47" s="1065" t="s">
        <v>1257</v>
      </c>
      <c r="F47" s="859" t="s">
        <v>1193</v>
      </c>
      <c r="G47" s="1280">
        <f t="shared" si="18"/>
        <v>0</v>
      </c>
      <c r="H47" s="1281">
        <f t="shared" si="19"/>
        <v>0</v>
      </c>
      <c r="I47" s="1281">
        <f t="shared" si="20"/>
        <v>0</v>
      </c>
      <c r="J47" s="1668" t="str">
        <f t="shared" si="3"/>
        <v>-</v>
      </c>
      <c r="K47" s="1280">
        <f t="shared" si="21"/>
        <v>0</v>
      </c>
      <c r="L47" s="1281">
        <f t="shared" si="22"/>
        <v>0</v>
      </c>
      <c r="M47" s="1281">
        <f t="shared" si="23"/>
        <v>0</v>
      </c>
      <c r="N47" s="1668" t="str">
        <f t="shared" si="7"/>
        <v>-</v>
      </c>
      <c r="O47" s="1047"/>
      <c r="P47" s="1048"/>
      <c r="Q47" s="1048"/>
      <c r="R47" s="1699" t="str">
        <f t="shared" si="8"/>
        <v>-</v>
      </c>
      <c r="S47" s="1047"/>
      <c r="T47" s="1048"/>
      <c r="U47" s="1048"/>
      <c r="V47" s="1699" t="str">
        <f t="shared" si="9"/>
        <v>-</v>
      </c>
      <c r="W47" s="1047"/>
      <c r="X47" s="1048"/>
      <c r="Y47" s="1048"/>
      <c r="Z47" s="1699" t="str">
        <f t="shared" si="10"/>
        <v>-</v>
      </c>
      <c r="AA47" s="1047"/>
      <c r="AB47" s="1048"/>
      <c r="AC47" s="1048"/>
      <c r="AD47" s="1699" t="str">
        <f t="shared" si="11"/>
        <v>-</v>
      </c>
      <c r="AE47" s="1280">
        <f t="shared" si="16"/>
        <v>0</v>
      </c>
      <c r="AF47" s="1281">
        <f t="shared" si="16"/>
        <v>0</v>
      </c>
      <c r="AG47" s="1281">
        <f t="shared" si="16"/>
        <v>0</v>
      </c>
      <c r="AH47" s="1668" t="str">
        <f t="shared" si="12"/>
        <v>-</v>
      </c>
      <c r="AI47" s="1047"/>
      <c r="AJ47" s="1048"/>
      <c r="AK47" s="1048"/>
      <c r="AL47" s="1699" t="str">
        <f t="shared" si="13"/>
        <v>-</v>
      </c>
      <c r="AM47" s="1047"/>
      <c r="AN47" s="1048"/>
      <c r="AO47" s="1048"/>
      <c r="AP47" s="1699" t="str">
        <f t="shared" si="14"/>
        <v>-</v>
      </c>
      <c r="AQ47" s="1047"/>
      <c r="AR47" s="1048"/>
      <c r="AS47" s="1048"/>
      <c r="AT47" s="1699" t="str">
        <f t="shared" si="15"/>
        <v>-</v>
      </c>
      <c r="AU47" s="442"/>
      <c r="AV47" s="442"/>
      <c r="AW47" s="442"/>
      <c r="AX47" s="442"/>
      <c r="AY47" s="442"/>
    </row>
    <row r="48" spans="1:51">
      <c r="A48" s="483">
        <f t="shared" si="17"/>
        <v>41</v>
      </c>
      <c r="B48" s="1781">
        <v>8</v>
      </c>
      <c r="C48" s="1062" t="s">
        <v>1017</v>
      </c>
      <c r="D48" s="856" t="s">
        <v>1018</v>
      </c>
      <c r="E48" s="1061" t="s">
        <v>1257</v>
      </c>
      <c r="F48" s="859" t="s">
        <v>1019</v>
      </c>
      <c r="G48" s="1280">
        <f t="shared" si="18"/>
        <v>0</v>
      </c>
      <c r="H48" s="1281">
        <f t="shared" si="19"/>
        <v>0</v>
      </c>
      <c r="I48" s="1281">
        <f t="shared" si="20"/>
        <v>0</v>
      </c>
      <c r="J48" s="1668" t="str">
        <f t="shared" si="3"/>
        <v>-</v>
      </c>
      <c r="K48" s="1280">
        <f t="shared" si="21"/>
        <v>0</v>
      </c>
      <c r="L48" s="1281">
        <f t="shared" si="22"/>
        <v>0</v>
      </c>
      <c r="M48" s="1281">
        <f t="shared" si="23"/>
        <v>0</v>
      </c>
      <c r="N48" s="1668" t="str">
        <f t="shared" si="7"/>
        <v>-</v>
      </c>
      <c r="O48" s="1047"/>
      <c r="P48" s="1048"/>
      <c r="Q48" s="1048"/>
      <c r="R48" s="1699" t="str">
        <f t="shared" si="8"/>
        <v>-</v>
      </c>
      <c r="S48" s="1047"/>
      <c r="T48" s="1048"/>
      <c r="U48" s="1048"/>
      <c r="V48" s="1699" t="str">
        <f t="shared" si="9"/>
        <v>-</v>
      </c>
      <c r="W48" s="1047"/>
      <c r="X48" s="1048"/>
      <c r="Y48" s="1048"/>
      <c r="Z48" s="1699" t="str">
        <f t="shared" si="10"/>
        <v>-</v>
      </c>
      <c r="AA48" s="1047"/>
      <c r="AB48" s="1048"/>
      <c r="AC48" s="1048"/>
      <c r="AD48" s="1699" t="str">
        <f t="shared" si="11"/>
        <v>-</v>
      </c>
      <c r="AE48" s="1280">
        <f t="shared" si="16"/>
        <v>0</v>
      </c>
      <c r="AF48" s="1281">
        <f t="shared" si="16"/>
        <v>0</v>
      </c>
      <c r="AG48" s="1281">
        <f t="shared" si="16"/>
        <v>0</v>
      </c>
      <c r="AH48" s="1668" t="str">
        <f t="shared" si="12"/>
        <v>-</v>
      </c>
      <c r="AI48" s="1047"/>
      <c r="AJ48" s="1048"/>
      <c r="AK48" s="1048"/>
      <c r="AL48" s="1699" t="str">
        <f t="shared" si="13"/>
        <v>-</v>
      </c>
      <c r="AM48" s="1047"/>
      <c r="AN48" s="1048"/>
      <c r="AO48" s="1048"/>
      <c r="AP48" s="1699" t="str">
        <f t="shared" si="14"/>
        <v>-</v>
      </c>
      <c r="AQ48" s="1047"/>
      <c r="AR48" s="1048"/>
      <c r="AS48" s="1048"/>
      <c r="AT48" s="1699" t="str">
        <f t="shared" si="15"/>
        <v>-</v>
      </c>
      <c r="AU48" s="442"/>
      <c r="AV48" s="442"/>
      <c r="AW48" s="442"/>
      <c r="AX48" s="442"/>
      <c r="AY48" s="442"/>
    </row>
    <row r="49" spans="1:51">
      <c r="A49" s="483">
        <f t="shared" si="17"/>
        <v>42</v>
      </c>
      <c r="B49" s="1781">
        <v>8</v>
      </c>
      <c r="C49" s="1062" t="s">
        <v>1020</v>
      </c>
      <c r="D49" s="856" t="s">
        <v>1021</v>
      </c>
      <c r="E49" s="1061" t="s">
        <v>1257</v>
      </c>
      <c r="F49" s="859" t="s">
        <v>1021</v>
      </c>
      <c r="G49" s="1280">
        <f t="shared" si="18"/>
        <v>0</v>
      </c>
      <c r="H49" s="1281">
        <f t="shared" si="19"/>
        <v>0</v>
      </c>
      <c r="I49" s="1281">
        <f t="shared" si="20"/>
        <v>0</v>
      </c>
      <c r="J49" s="1668" t="str">
        <f t="shared" si="3"/>
        <v>-</v>
      </c>
      <c r="K49" s="1280">
        <f t="shared" si="21"/>
        <v>0</v>
      </c>
      <c r="L49" s="1281">
        <f t="shared" si="22"/>
        <v>0</v>
      </c>
      <c r="M49" s="1281">
        <f t="shared" si="23"/>
        <v>0</v>
      </c>
      <c r="N49" s="1668" t="str">
        <f t="shared" si="7"/>
        <v>-</v>
      </c>
      <c r="O49" s="1047"/>
      <c r="P49" s="1048"/>
      <c r="Q49" s="1048"/>
      <c r="R49" s="1699" t="str">
        <f t="shared" si="8"/>
        <v>-</v>
      </c>
      <c r="S49" s="1047"/>
      <c r="T49" s="1048"/>
      <c r="U49" s="1048"/>
      <c r="V49" s="1699" t="str">
        <f t="shared" si="9"/>
        <v>-</v>
      </c>
      <c r="W49" s="1047"/>
      <c r="X49" s="1048"/>
      <c r="Y49" s="1048"/>
      <c r="Z49" s="1699" t="str">
        <f t="shared" si="10"/>
        <v>-</v>
      </c>
      <c r="AA49" s="1047"/>
      <c r="AB49" s="1048"/>
      <c r="AC49" s="1048"/>
      <c r="AD49" s="1699" t="str">
        <f t="shared" si="11"/>
        <v>-</v>
      </c>
      <c r="AE49" s="1280">
        <f>+AI49+AM49+AQ49</f>
        <v>0</v>
      </c>
      <c r="AF49" s="1281">
        <f>+AJ49+AN49+AR49</f>
        <v>0</v>
      </c>
      <c r="AG49" s="1281">
        <f>+AK49+AO49+AS49</f>
        <v>0</v>
      </c>
      <c r="AH49" s="1668" t="str">
        <f t="shared" si="12"/>
        <v>-</v>
      </c>
      <c r="AI49" s="1047"/>
      <c r="AJ49" s="1048"/>
      <c r="AK49" s="1048"/>
      <c r="AL49" s="1699" t="str">
        <f t="shared" si="13"/>
        <v>-</v>
      </c>
      <c r="AM49" s="1047"/>
      <c r="AN49" s="1048"/>
      <c r="AO49" s="1048"/>
      <c r="AP49" s="1699" t="str">
        <f t="shared" si="14"/>
        <v>-</v>
      </c>
      <c r="AQ49" s="1047"/>
      <c r="AR49" s="1048"/>
      <c r="AS49" s="1048"/>
      <c r="AT49" s="1699" t="str">
        <f t="shared" si="15"/>
        <v>-</v>
      </c>
      <c r="AU49" s="442"/>
      <c r="AV49" s="442"/>
      <c r="AW49" s="442"/>
      <c r="AX49" s="442"/>
      <c r="AY49" s="442"/>
    </row>
    <row r="50" spans="1:51">
      <c r="A50" s="483">
        <f t="shared" si="17"/>
        <v>43</v>
      </c>
      <c r="B50" s="1781">
        <v>8</v>
      </c>
      <c r="C50" s="1062" t="s">
        <v>709</v>
      </c>
      <c r="D50" s="856" t="s">
        <v>710</v>
      </c>
      <c r="E50" s="1061" t="s">
        <v>1263</v>
      </c>
      <c r="F50" s="859" t="s">
        <v>710</v>
      </c>
      <c r="G50" s="1280">
        <f t="shared" si="18"/>
        <v>24900</v>
      </c>
      <c r="H50" s="1281">
        <f t="shared" si="19"/>
        <v>0</v>
      </c>
      <c r="I50" s="1281">
        <f t="shared" si="20"/>
        <v>0</v>
      </c>
      <c r="J50" s="1668" t="str">
        <f t="shared" si="3"/>
        <v>-</v>
      </c>
      <c r="K50" s="1280">
        <f t="shared" si="21"/>
        <v>0</v>
      </c>
      <c r="L50" s="1281">
        <f t="shared" si="22"/>
        <v>0</v>
      </c>
      <c r="M50" s="1281">
        <f t="shared" si="23"/>
        <v>0</v>
      </c>
      <c r="N50" s="1668" t="str">
        <f t="shared" si="7"/>
        <v>-</v>
      </c>
      <c r="O50" s="1047"/>
      <c r="P50" s="1048"/>
      <c r="Q50" s="1048"/>
      <c r="R50" s="1699" t="str">
        <f t="shared" si="8"/>
        <v>-</v>
      </c>
      <c r="S50" s="1047"/>
      <c r="T50" s="1048"/>
      <c r="U50" s="1048"/>
      <c r="V50" s="1699" t="str">
        <f t="shared" si="9"/>
        <v>-</v>
      </c>
      <c r="W50" s="1047"/>
      <c r="X50" s="1048"/>
      <c r="Y50" s="1048"/>
      <c r="Z50" s="1699" t="str">
        <f t="shared" si="10"/>
        <v>-</v>
      </c>
      <c r="AA50" s="1047"/>
      <c r="AB50" s="1048"/>
      <c r="AC50" s="1048"/>
      <c r="AD50" s="1699" t="str">
        <f t="shared" si="11"/>
        <v>-</v>
      </c>
      <c r="AE50" s="1280">
        <f t="shared" si="16"/>
        <v>24900</v>
      </c>
      <c r="AF50" s="1281">
        <f t="shared" si="16"/>
        <v>0</v>
      </c>
      <c r="AG50" s="1281">
        <f t="shared" si="16"/>
        <v>0</v>
      </c>
      <c r="AH50" s="1668" t="str">
        <f t="shared" si="12"/>
        <v>-</v>
      </c>
      <c r="AI50" s="1047">
        <v>24900</v>
      </c>
      <c r="AJ50" s="1048">
        <v>0</v>
      </c>
      <c r="AK50" s="1048"/>
      <c r="AL50" s="1699" t="str">
        <f t="shared" si="13"/>
        <v>-</v>
      </c>
      <c r="AM50" s="1047"/>
      <c r="AN50" s="1048"/>
      <c r="AO50" s="1048"/>
      <c r="AP50" s="1699" t="str">
        <f t="shared" si="14"/>
        <v>-</v>
      </c>
      <c r="AQ50" s="1047"/>
      <c r="AR50" s="1048"/>
      <c r="AS50" s="1048"/>
      <c r="AT50" s="1699" t="str">
        <f t="shared" si="15"/>
        <v>-</v>
      </c>
      <c r="AU50" s="442"/>
      <c r="AV50" s="442"/>
      <c r="AW50" s="442"/>
      <c r="AX50" s="442"/>
      <c r="AY50" s="442"/>
    </row>
    <row r="51" spans="1:51">
      <c r="A51" s="483">
        <f t="shared" si="17"/>
        <v>44</v>
      </c>
      <c r="B51" s="1781">
        <v>8</v>
      </c>
      <c r="C51" s="1062" t="s">
        <v>1024</v>
      </c>
      <c r="D51" s="856" t="s">
        <v>1022</v>
      </c>
      <c r="E51" s="1061" t="s">
        <v>1265</v>
      </c>
      <c r="F51" s="859" t="s">
        <v>1022</v>
      </c>
      <c r="G51" s="1280">
        <f t="shared" si="18"/>
        <v>0</v>
      </c>
      <c r="H51" s="1281">
        <f t="shared" si="19"/>
        <v>0</v>
      </c>
      <c r="I51" s="1281">
        <f t="shared" si="20"/>
        <v>0</v>
      </c>
      <c r="J51" s="1668" t="str">
        <f t="shared" si="3"/>
        <v>-</v>
      </c>
      <c r="K51" s="1280">
        <f t="shared" si="21"/>
        <v>0</v>
      </c>
      <c r="L51" s="1281">
        <f t="shared" si="22"/>
        <v>0</v>
      </c>
      <c r="M51" s="1281">
        <f t="shared" si="23"/>
        <v>0</v>
      </c>
      <c r="N51" s="1668" t="str">
        <f t="shared" si="7"/>
        <v>-</v>
      </c>
      <c r="O51" s="1047"/>
      <c r="P51" s="1048"/>
      <c r="Q51" s="1048"/>
      <c r="R51" s="1699" t="str">
        <f t="shared" si="8"/>
        <v>-</v>
      </c>
      <c r="S51" s="1047"/>
      <c r="T51" s="1048"/>
      <c r="U51" s="1048"/>
      <c r="V51" s="1699" t="str">
        <f t="shared" si="9"/>
        <v>-</v>
      </c>
      <c r="W51" s="1047"/>
      <c r="X51" s="1048"/>
      <c r="Y51" s="1048"/>
      <c r="Z51" s="1699" t="str">
        <f t="shared" si="10"/>
        <v>-</v>
      </c>
      <c r="AA51" s="1047"/>
      <c r="AB51" s="1048"/>
      <c r="AC51" s="1048"/>
      <c r="AD51" s="1699" t="str">
        <f t="shared" si="11"/>
        <v>-</v>
      </c>
      <c r="AE51" s="1280">
        <f t="shared" si="16"/>
        <v>0</v>
      </c>
      <c r="AF51" s="1281">
        <f t="shared" si="16"/>
        <v>0</v>
      </c>
      <c r="AG51" s="1281">
        <f t="shared" si="16"/>
        <v>0</v>
      </c>
      <c r="AH51" s="1668" t="str">
        <f t="shared" si="12"/>
        <v>-</v>
      </c>
      <c r="AI51" s="1047"/>
      <c r="AJ51" s="1048"/>
      <c r="AK51" s="1048"/>
      <c r="AL51" s="1699" t="str">
        <f t="shared" si="13"/>
        <v>-</v>
      </c>
      <c r="AM51" s="1047"/>
      <c r="AN51" s="1048"/>
      <c r="AO51" s="1048"/>
      <c r="AP51" s="1699" t="str">
        <f t="shared" si="14"/>
        <v>-</v>
      </c>
      <c r="AQ51" s="1047"/>
      <c r="AR51" s="1048"/>
      <c r="AS51" s="1048"/>
      <c r="AT51" s="1699" t="str">
        <f t="shared" si="15"/>
        <v>-</v>
      </c>
      <c r="AU51" s="442"/>
      <c r="AV51" s="442"/>
      <c r="AW51" s="442"/>
      <c r="AX51" s="442"/>
      <c r="AY51" s="442"/>
    </row>
    <row r="52" spans="1:51">
      <c r="A52" s="483">
        <f t="shared" si="17"/>
        <v>45</v>
      </c>
      <c r="B52" s="1781">
        <v>8</v>
      </c>
      <c r="C52" s="1062" t="s">
        <v>1025</v>
      </c>
      <c r="D52" s="856" t="s">
        <v>1023</v>
      </c>
      <c r="E52" s="1061" t="s">
        <v>1257</v>
      </c>
      <c r="F52" s="859" t="s">
        <v>1026</v>
      </c>
      <c r="G52" s="1280">
        <f t="shared" si="18"/>
        <v>0</v>
      </c>
      <c r="H52" s="1281">
        <f t="shared" si="19"/>
        <v>0</v>
      </c>
      <c r="I52" s="1281">
        <f t="shared" si="20"/>
        <v>0</v>
      </c>
      <c r="J52" s="1668" t="str">
        <f t="shared" si="3"/>
        <v>-</v>
      </c>
      <c r="K52" s="1280">
        <f t="shared" si="21"/>
        <v>0</v>
      </c>
      <c r="L52" s="1281">
        <f t="shared" si="22"/>
        <v>0</v>
      </c>
      <c r="M52" s="1281">
        <f t="shared" si="23"/>
        <v>0</v>
      </c>
      <c r="N52" s="1668" t="str">
        <f t="shared" si="7"/>
        <v>-</v>
      </c>
      <c r="O52" s="1047"/>
      <c r="P52" s="1048"/>
      <c r="Q52" s="1048"/>
      <c r="R52" s="1699" t="str">
        <f t="shared" si="8"/>
        <v>-</v>
      </c>
      <c r="S52" s="1047"/>
      <c r="T52" s="1048"/>
      <c r="U52" s="1048"/>
      <c r="V52" s="1699" t="str">
        <f t="shared" si="9"/>
        <v>-</v>
      </c>
      <c r="W52" s="1047"/>
      <c r="X52" s="1048"/>
      <c r="Y52" s="1048"/>
      <c r="Z52" s="1699" t="str">
        <f t="shared" si="10"/>
        <v>-</v>
      </c>
      <c r="AA52" s="1047"/>
      <c r="AB52" s="1048"/>
      <c r="AC52" s="1048"/>
      <c r="AD52" s="1699" t="str">
        <f t="shared" si="11"/>
        <v>-</v>
      </c>
      <c r="AE52" s="1280">
        <f t="shared" si="16"/>
        <v>0</v>
      </c>
      <c r="AF52" s="1281">
        <f t="shared" si="16"/>
        <v>0</v>
      </c>
      <c r="AG52" s="1281">
        <f t="shared" si="16"/>
        <v>0</v>
      </c>
      <c r="AH52" s="1668" t="str">
        <f t="shared" si="12"/>
        <v>-</v>
      </c>
      <c r="AI52" s="1047"/>
      <c r="AJ52" s="1048"/>
      <c r="AK52" s="1048"/>
      <c r="AL52" s="1699" t="str">
        <f t="shared" si="13"/>
        <v>-</v>
      </c>
      <c r="AM52" s="1047"/>
      <c r="AN52" s="1048"/>
      <c r="AO52" s="1048"/>
      <c r="AP52" s="1699" t="str">
        <f t="shared" si="14"/>
        <v>-</v>
      </c>
      <c r="AQ52" s="1047"/>
      <c r="AR52" s="1048"/>
      <c r="AS52" s="1048"/>
      <c r="AT52" s="1699" t="str">
        <f t="shared" si="15"/>
        <v>-</v>
      </c>
      <c r="AU52" s="442"/>
      <c r="AV52" s="442"/>
      <c r="AW52" s="442"/>
      <c r="AX52" s="442"/>
      <c r="AY52" s="442"/>
    </row>
    <row r="53" spans="1:51">
      <c r="A53" s="483">
        <f t="shared" si="17"/>
        <v>46</v>
      </c>
      <c r="B53" s="249">
        <v>8</v>
      </c>
      <c r="C53" s="1063" t="s">
        <v>1027</v>
      </c>
      <c r="D53" s="862" t="s">
        <v>1028</v>
      </c>
      <c r="E53" s="1064" t="s">
        <v>1257</v>
      </c>
      <c r="F53" s="863" t="s">
        <v>1028</v>
      </c>
      <c r="G53" s="1282">
        <f t="shared" si="18"/>
        <v>0</v>
      </c>
      <c r="H53" s="1283">
        <f t="shared" si="19"/>
        <v>0</v>
      </c>
      <c r="I53" s="1283">
        <f t="shared" si="20"/>
        <v>0</v>
      </c>
      <c r="J53" s="1691" t="str">
        <f t="shared" si="3"/>
        <v>-</v>
      </c>
      <c r="K53" s="1282">
        <f t="shared" si="21"/>
        <v>0</v>
      </c>
      <c r="L53" s="1283">
        <f t="shared" si="22"/>
        <v>0</v>
      </c>
      <c r="M53" s="1283">
        <f t="shared" si="23"/>
        <v>0</v>
      </c>
      <c r="N53" s="1691" t="str">
        <f t="shared" si="7"/>
        <v>-</v>
      </c>
      <c r="O53" s="1047"/>
      <c r="P53" s="1048"/>
      <c r="Q53" s="1048"/>
      <c r="R53" s="1699" t="str">
        <f t="shared" si="8"/>
        <v>-</v>
      </c>
      <c r="S53" s="1047"/>
      <c r="T53" s="1048"/>
      <c r="U53" s="1048"/>
      <c r="V53" s="1699" t="str">
        <f t="shared" si="9"/>
        <v>-</v>
      </c>
      <c r="W53" s="1047"/>
      <c r="X53" s="1048"/>
      <c r="Y53" s="1048"/>
      <c r="Z53" s="1699" t="str">
        <f t="shared" si="10"/>
        <v>-</v>
      </c>
      <c r="AA53" s="1047"/>
      <c r="AB53" s="1048"/>
      <c r="AC53" s="1048"/>
      <c r="AD53" s="1699" t="str">
        <f t="shared" si="11"/>
        <v>-</v>
      </c>
      <c r="AE53" s="1282">
        <f t="shared" si="16"/>
        <v>0</v>
      </c>
      <c r="AF53" s="1283">
        <f t="shared" si="16"/>
        <v>0</v>
      </c>
      <c r="AG53" s="1283">
        <f t="shared" si="16"/>
        <v>0</v>
      </c>
      <c r="AH53" s="1691" t="str">
        <f t="shared" si="12"/>
        <v>-</v>
      </c>
      <c r="AI53" s="1047"/>
      <c r="AJ53" s="1048"/>
      <c r="AK53" s="1048"/>
      <c r="AL53" s="1699" t="str">
        <f t="shared" si="13"/>
        <v>-</v>
      </c>
      <c r="AM53" s="1047"/>
      <c r="AN53" s="1048"/>
      <c r="AO53" s="1048"/>
      <c r="AP53" s="1699" t="str">
        <f t="shared" si="14"/>
        <v>-</v>
      </c>
      <c r="AQ53" s="1047"/>
      <c r="AR53" s="1048"/>
      <c r="AS53" s="1048"/>
      <c r="AT53" s="1699" t="str">
        <f t="shared" si="15"/>
        <v>-</v>
      </c>
      <c r="AU53" s="442"/>
      <c r="AV53" s="442"/>
      <c r="AW53" s="442"/>
      <c r="AX53" s="442"/>
      <c r="AY53" s="442"/>
    </row>
    <row r="54" spans="1:51">
      <c r="A54" s="483">
        <f t="shared" si="17"/>
        <v>47</v>
      </c>
      <c r="B54" s="249">
        <v>8</v>
      </c>
      <c r="C54" s="1063" t="s">
        <v>737</v>
      </c>
      <c r="D54" s="862" t="s">
        <v>735</v>
      </c>
      <c r="E54" s="1064" t="s">
        <v>1266</v>
      </c>
      <c r="F54" s="863" t="s">
        <v>666</v>
      </c>
      <c r="G54" s="1282">
        <f t="shared" si="18"/>
        <v>2500</v>
      </c>
      <c r="H54" s="1283">
        <f t="shared" si="19"/>
        <v>0</v>
      </c>
      <c r="I54" s="1283">
        <f t="shared" si="20"/>
        <v>0</v>
      </c>
      <c r="J54" s="1691" t="str">
        <f t="shared" si="3"/>
        <v>-</v>
      </c>
      <c r="K54" s="1282">
        <f t="shared" si="21"/>
        <v>2500</v>
      </c>
      <c r="L54" s="1283">
        <f t="shared" si="22"/>
        <v>0</v>
      </c>
      <c r="M54" s="1283">
        <f t="shared" si="23"/>
        <v>0</v>
      </c>
      <c r="N54" s="1691" t="str">
        <f t="shared" si="7"/>
        <v>-</v>
      </c>
      <c r="O54" s="1047"/>
      <c r="P54" s="1048"/>
      <c r="Q54" s="1048"/>
      <c r="R54" s="1699" t="str">
        <f t="shared" si="8"/>
        <v>-</v>
      </c>
      <c r="S54" s="1047"/>
      <c r="T54" s="1048"/>
      <c r="U54" s="1048"/>
      <c r="V54" s="1699" t="str">
        <f t="shared" si="9"/>
        <v>-</v>
      </c>
      <c r="W54" s="1047">
        <v>2500</v>
      </c>
      <c r="X54" s="1048">
        <v>0</v>
      </c>
      <c r="Y54" s="1048"/>
      <c r="Z54" s="1699" t="str">
        <f t="shared" si="10"/>
        <v>-</v>
      </c>
      <c r="AA54" s="1047"/>
      <c r="AB54" s="1048"/>
      <c r="AC54" s="1048"/>
      <c r="AD54" s="1699" t="str">
        <f t="shared" si="11"/>
        <v>-</v>
      </c>
      <c r="AE54" s="1282">
        <f t="shared" si="16"/>
        <v>0</v>
      </c>
      <c r="AF54" s="1283">
        <f t="shared" si="16"/>
        <v>0</v>
      </c>
      <c r="AG54" s="1283">
        <f t="shared" si="16"/>
        <v>0</v>
      </c>
      <c r="AH54" s="1691" t="str">
        <f t="shared" si="12"/>
        <v>-</v>
      </c>
      <c r="AI54" s="1047"/>
      <c r="AJ54" s="1048"/>
      <c r="AK54" s="1048"/>
      <c r="AL54" s="1699" t="str">
        <f t="shared" si="13"/>
        <v>-</v>
      </c>
      <c r="AM54" s="1047"/>
      <c r="AN54" s="1048"/>
      <c r="AO54" s="1048"/>
      <c r="AP54" s="1699" t="str">
        <f t="shared" si="14"/>
        <v>-</v>
      </c>
      <c r="AQ54" s="1047"/>
      <c r="AR54" s="1048"/>
      <c r="AS54" s="1048"/>
      <c r="AT54" s="1699" t="str">
        <f t="shared" si="15"/>
        <v>-</v>
      </c>
      <c r="AU54" s="442"/>
      <c r="AV54" s="442"/>
      <c r="AW54" s="442"/>
      <c r="AX54" s="442"/>
      <c r="AY54" s="442"/>
    </row>
    <row r="55" spans="1:51">
      <c r="A55" s="483">
        <f t="shared" si="17"/>
        <v>48</v>
      </c>
      <c r="B55" s="249">
        <v>8</v>
      </c>
      <c r="C55" s="1063" t="s">
        <v>738</v>
      </c>
      <c r="D55" s="862" t="s">
        <v>736</v>
      </c>
      <c r="E55" s="1064" t="s">
        <v>1257</v>
      </c>
      <c r="F55" s="863" t="s">
        <v>662</v>
      </c>
      <c r="G55" s="1282">
        <f t="shared" si="18"/>
        <v>0</v>
      </c>
      <c r="H55" s="1283">
        <f t="shared" si="19"/>
        <v>0</v>
      </c>
      <c r="I55" s="1283">
        <f t="shared" si="20"/>
        <v>0</v>
      </c>
      <c r="J55" s="1691" t="str">
        <f t="shared" si="3"/>
        <v>-</v>
      </c>
      <c r="K55" s="1282">
        <f t="shared" si="21"/>
        <v>0</v>
      </c>
      <c r="L55" s="1283">
        <f t="shared" si="22"/>
        <v>0</v>
      </c>
      <c r="M55" s="1283">
        <f t="shared" si="23"/>
        <v>0</v>
      </c>
      <c r="N55" s="1691" t="str">
        <f t="shared" si="7"/>
        <v>-</v>
      </c>
      <c r="O55" s="1047"/>
      <c r="P55" s="1048"/>
      <c r="Q55" s="1048"/>
      <c r="R55" s="1699" t="str">
        <f t="shared" si="8"/>
        <v>-</v>
      </c>
      <c r="S55" s="1047"/>
      <c r="T55" s="1048"/>
      <c r="U55" s="1048"/>
      <c r="V55" s="1699" t="str">
        <f t="shared" si="9"/>
        <v>-</v>
      </c>
      <c r="W55" s="1047"/>
      <c r="X55" s="1048"/>
      <c r="Y55" s="1048"/>
      <c r="Z55" s="1699" t="str">
        <f t="shared" si="10"/>
        <v>-</v>
      </c>
      <c r="AA55" s="1047"/>
      <c r="AB55" s="1048"/>
      <c r="AC55" s="1048"/>
      <c r="AD55" s="1699" t="str">
        <f t="shared" si="11"/>
        <v>-</v>
      </c>
      <c r="AE55" s="1282">
        <f>+AI55+AM55+AQ55</f>
        <v>0</v>
      </c>
      <c r="AF55" s="1283">
        <f>+AJ55+AN55+AR55</f>
        <v>0</v>
      </c>
      <c r="AG55" s="1283">
        <f>+AK55+AO55+AS55</f>
        <v>0</v>
      </c>
      <c r="AH55" s="1691" t="str">
        <f t="shared" si="12"/>
        <v>-</v>
      </c>
      <c r="AI55" s="1047"/>
      <c r="AJ55" s="1048"/>
      <c r="AK55" s="1048"/>
      <c r="AL55" s="1699" t="str">
        <f t="shared" si="13"/>
        <v>-</v>
      </c>
      <c r="AM55" s="1047"/>
      <c r="AN55" s="1048"/>
      <c r="AO55" s="1048"/>
      <c r="AP55" s="1699" t="str">
        <f t="shared" si="14"/>
        <v>-</v>
      </c>
      <c r="AQ55" s="1047"/>
      <c r="AR55" s="1048"/>
      <c r="AS55" s="1048"/>
      <c r="AT55" s="1699" t="str">
        <f t="shared" si="15"/>
        <v>-</v>
      </c>
      <c r="AU55" s="442"/>
      <c r="AV55" s="442"/>
      <c r="AW55" s="442"/>
      <c r="AX55" s="442"/>
      <c r="AY55" s="442"/>
    </row>
    <row r="56" spans="1:51">
      <c r="A56" s="483">
        <f t="shared" si="17"/>
        <v>49</v>
      </c>
      <c r="B56" s="249">
        <v>8</v>
      </c>
      <c r="C56" s="1063" t="s">
        <v>1029</v>
      </c>
      <c r="D56" s="862" t="s">
        <v>1030</v>
      </c>
      <c r="E56" s="1064" t="s">
        <v>1257</v>
      </c>
      <c r="F56" s="863" t="s">
        <v>1030</v>
      </c>
      <c r="G56" s="1282">
        <f t="shared" si="18"/>
        <v>0</v>
      </c>
      <c r="H56" s="1283">
        <f t="shared" si="19"/>
        <v>0</v>
      </c>
      <c r="I56" s="1283">
        <f t="shared" si="20"/>
        <v>0</v>
      </c>
      <c r="J56" s="1691" t="str">
        <f t="shared" si="3"/>
        <v>-</v>
      </c>
      <c r="K56" s="1282">
        <f t="shared" si="21"/>
        <v>0</v>
      </c>
      <c r="L56" s="1283">
        <f t="shared" si="22"/>
        <v>0</v>
      </c>
      <c r="M56" s="1283">
        <f t="shared" si="23"/>
        <v>0</v>
      </c>
      <c r="N56" s="1691" t="str">
        <f t="shared" si="7"/>
        <v>-</v>
      </c>
      <c r="O56" s="1047"/>
      <c r="P56" s="1048"/>
      <c r="Q56" s="1048"/>
      <c r="R56" s="1699" t="str">
        <f t="shared" si="8"/>
        <v>-</v>
      </c>
      <c r="S56" s="1047"/>
      <c r="T56" s="1048"/>
      <c r="U56" s="1048"/>
      <c r="V56" s="1699" t="str">
        <f t="shared" si="9"/>
        <v>-</v>
      </c>
      <c r="W56" s="1047"/>
      <c r="X56" s="1048"/>
      <c r="Y56" s="1048"/>
      <c r="Z56" s="1699" t="str">
        <f t="shared" si="10"/>
        <v>-</v>
      </c>
      <c r="AA56" s="1047"/>
      <c r="AB56" s="1048"/>
      <c r="AC56" s="1048"/>
      <c r="AD56" s="1699" t="str">
        <f t="shared" si="11"/>
        <v>-</v>
      </c>
      <c r="AE56" s="1282">
        <f t="shared" si="16"/>
        <v>0</v>
      </c>
      <c r="AF56" s="1283">
        <f t="shared" si="16"/>
        <v>0</v>
      </c>
      <c r="AG56" s="1283">
        <f t="shared" si="16"/>
        <v>0</v>
      </c>
      <c r="AH56" s="1691" t="str">
        <f t="shared" si="12"/>
        <v>-</v>
      </c>
      <c r="AI56" s="1047"/>
      <c r="AJ56" s="1048"/>
      <c r="AK56" s="1048"/>
      <c r="AL56" s="1699" t="str">
        <f t="shared" si="13"/>
        <v>-</v>
      </c>
      <c r="AM56" s="1047"/>
      <c r="AN56" s="1048"/>
      <c r="AO56" s="1048"/>
      <c r="AP56" s="1699" t="str">
        <f t="shared" si="14"/>
        <v>-</v>
      </c>
      <c r="AQ56" s="1047"/>
      <c r="AR56" s="1048"/>
      <c r="AS56" s="1048"/>
      <c r="AT56" s="1699" t="str">
        <f t="shared" si="15"/>
        <v>-</v>
      </c>
      <c r="AU56" s="442"/>
      <c r="AV56" s="442"/>
      <c r="AW56" s="442"/>
      <c r="AX56" s="442"/>
      <c r="AY56" s="442"/>
    </row>
    <row r="57" spans="1:51">
      <c r="A57" s="483">
        <f t="shared" si="17"/>
        <v>50</v>
      </c>
      <c r="B57" s="249">
        <v>6</v>
      </c>
      <c r="C57" s="1063" t="s">
        <v>688</v>
      </c>
      <c r="D57" s="862" t="s">
        <v>687</v>
      </c>
      <c r="E57" s="1064" t="s">
        <v>1257</v>
      </c>
      <c r="F57" s="863" t="s">
        <v>1040</v>
      </c>
      <c r="G57" s="1282">
        <f t="shared" si="18"/>
        <v>0</v>
      </c>
      <c r="H57" s="1283">
        <f t="shared" si="19"/>
        <v>0</v>
      </c>
      <c r="I57" s="1283">
        <f t="shared" si="20"/>
        <v>0</v>
      </c>
      <c r="J57" s="1691" t="str">
        <f t="shared" si="3"/>
        <v>-</v>
      </c>
      <c r="K57" s="1282">
        <f t="shared" si="21"/>
        <v>0</v>
      </c>
      <c r="L57" s="1283">
        <f t="shared" si="22"/>
        <v>0</v>
      </c>
      <c r="M57" s="1283">
        <f t="shared" si="23"/>
        <v>0</v>
      </c>
      <c r="N57" s="1691" t="str">
        <f t="shared" si="7"/>
        <v>-</v>
      </c>
      <c r="O57" s="1047"/>
      <c r="P57" s="1048"/>
      <c r="Q57" s="1048"/>
      <c r="R57" s="1699" t="str">
        <f t="shared" si="8"/>
        <v>-</v>
      </c>
      <c r="S57" s="1047"/>
      <c r="T57" s="1048"/>
      <c r="U57" s="1048"/>
      <c r="V57" s="1699" t="str">
        <f t="shared" si="9"/>
        <v>-</v>
      </c>
      <c r="W57" s="1047"/>
      <c r="X57" s="1048"/>
      <c r="Y57" s="1048"/>
      <c r="Z57" s="1699" t="str">
        <f t="shared" si="10"/>
        <v>-</v>
      </c>
      <c r="AA57" s="1047"/>
      <c r="AB57" s="1048"/>
      <c r="AC57" s="1048"/>
      <c r="AD57" s="1699" t="str">
        <f t="shared" si="11"/>
        <v>-</v>
      </c>
      <c r="AE57" s="1282">
        <f t="shared" ref="AE57:AG59" si="25">+AI57+AM57+AQ57</f>
        <v>0</v>
      </c>
      <c r="AF57" s="1283">
        <f t="shared" si="25"/>
        <v>0</v>
      </c>
      <c r="AG57" s="1283">
        <f t="shared" si="25"/>
        <v>0</v>
      </c>
      <c r="AH57" s="1691" t="str">
        <f t="shared" si="12"/>
        <v>-</v>
      </c>
      <c r="AI57" s="1047"/>
      <c r="AJ57" s="1048"/>
      <c r="AK57" s="1048"/>
      <c r="AL57" s="1699" t="str">
        <f t="shared" si="13"/>
        <v>-</v>
      </c>
      <c r="AM57" s="1047"/>
      <c r="AN57" s="1048"/>
      <c r="AO57" s="1048"/>
      <c r="AP57" s="1699" t="str">
        <f t="shared" si="14"/>
        <v>-</v>
      </c>
      <c r="AQ57" s="1047"/>
      <c r="AR57" s="1048"/>
      <c r="AS57" s="1048"/>
      <c r="AT57" s="1699" t="str">
        <f t="shared" si="15"/>
        <v>-</v>
      </c>
      <c r="AU57" s="442"/>
      <c r="AV57" s="442"/>
      <c r="AW57" s="442"/>
      <c r="AX57" s="442"/>
      <c r="AY57" s="442"/>
    </row>
    <row r="58" spans="1:51">
      <c r="A58" s="483">
        <f t="shared" si="17"/>
        <v>51</v>
      </c>
      <c r="B58" s="249">
        <v>6</v>
      </c>
      <c r="C58" s="1063" t="s">
        <v>694</v>
      </c>
      <c r="D58" s="862" t="s">
        <v>693</v>
      </c>
      <c r="E58" s="1064" t="s">
        <v>1257</v>
      </c>
      <c r="F58" s="863" t="s">
        <v>1042</v>
      </c>
      <c r="G58" s="1282">
        <f t="shared" si="18"/>
        <v>0</v>
      </c>
      <c r="H58" s="1283">
        <f t="shared" si="19"/>
        <v>0</v>
      </c>
      <c r="I58" s="1283">
        <f t="shared" si="20"/>
        <v>0</v>
      </c>
      <c r="J58" s="1691" t="str">
        <f t="shared" si="3"/>
        <v>-</v>
      </c>
      <c r="K58" s="1282">
        <f t="shared" si="21"/>
        <v>0</v>
      </c>
      <c r="L58" s="1283">
        <f t="shared" si="22"/>
        <v>0</v>
      </c>
      <c r="M58" s="1283">
        <f t="shared" si="23"/>
        <v>0</v>
      </c>
      <c r="N58" s="1691" t="str">
        <f t="shared" si="7"/>
        <v>-</v>
      </c>
      <c r="O58" s="1047"/>
      <c r="P58" s="1048"/>
      <c r="Q58" s="1048"/>
      <c r="R58" s="1699" t="str">
        <f t="shared" si="8"/>
        <v>-</v>
      </c>
      <c r="S58" s="1047"/>
      <c r="T58" s="1048"/>
      <c r="U58" s="1048"/>
      <c r="V58" s="1699" t="str">
        <f t="shared" si="9"/>
        <v>-</v>
      </c>
      <c r="W58" s="1047"/>
      <c r="X58" s="1048"/>
      <c r="Y58" s="1048"/>
      <c r="Z58" s="1699" t="str">
        <f t="shared" si="10"/>
        <v>-</v>
      </c>
      <c r="AA58" s="1047"/>
      <c r="AB58" s="1048"/>
      <c r="AC58" s="1048"/>
      <c r="AD58" s="1699" t="str">
        <f t="shared" si="11"/>
        <v>-</v>
      </c>
      <c r="AE58" s="1282">
        <f t="shared" si="25"/>
        <v>0</v>
      </c>
      <c r="AF58" s="1283">
        <f t="shared" si="25"/>
        <v>0</v>
      </c>
      <c r="AG58" s="1283">
        <f t="shared" si="25"/>
        <v>0</v>
      </c>
      <c r="AH58" s="1691" t="str">
        <f t="shared" si="12"/>
        <v>-</v>
      </c>
      <c r="AI58" s="1047"/>
      <c r="AJ58" s="1048"/>
      <c r="AK58" s="1048"/>
      <c r="AL58" s="1699" t="str">
        <f t="shared" si="13"/>
        <v>-</v>
      </c>
      <c r="AM58" s="1047"/>
      <c r="AN58" s="1048"/>
      <c r="AO58" s="1048"/>
      <c r="AP58" s="1699" t="str">
        <f t="shared" si="14"/>
        <v>-</v>
      </c>
      <c r="AQ58" s="1047"/>
      <c r="AR58" s="1048"/>
      <c r="AS58" s="1048"/>
      <c r="AT58" s="1699" t="str">
        <f t="shared" si="15"/>
        <v>-</v>
      </c>
      <c r="AU58" s="442"/>
      <c r="AV58" s="442"/>
      <c r="AW58" s="442"/>
      <c r="AX58" s="442"/>
      <c r="AY58" s="442"/>
    </row>
    <row r="59" spans="1:51">
      <c r="A59" s="483">
        <f t="shared" si="17"/>
        <v>52</v>
      </c>
      <c r="B59" s="249">
        <v>6</v>
      </c>
      <c r="C59" s="1063" t="s">
        <v>1039</v>
      </c>
      <c r="D59" s="862" t="s">
        <v>1038</v>
      </c>
      <c r="E59" s="1064" t="s">
        <v>1267</v>
      </c>
      <c r="F59" s="863" t="s">
        <v>1038</v>
      </c>
      <c r="G59" s="1282">
        <f t="shared" si="18"/>
        <v>0</v>
      </c>
      <c r="H59" s="1283">
        <f t="shared" si="19"/>
        <v>0</v>
      </c>
      <c r="I59" s="1283">
        <f t="shared" si="20"/>
        <v>0</v>
      </c>
      <c r="J59" s="1691" t="str">
        <f t="shared" si="3"/>
        <v>-</v>
      </c>
      <c r="K59" s="1282">
        <f t="shared" si="21"/>
        <v>0</v>
      </c>
      <c r="L59" s="1283">
        <f t="shared" si="22"/>
        <v>0</v>
      </c>
      <c r="M59" s="1283">
        <f t="shared" si="23"/>
        <v>0</v>
      </c>
      <c r="N59" s="1691" t="str">
        <f t="shared" si="7"/>
        <v>-</v>
      </c>
      <c r="O59" s="1047"/>
      <c r="P59" s="1048"/>
      <c r="Q59" s="1048"/>
      <c r="R59" s="1699" t="str">
        <f t="shared" si="8"/>
        <v>-</v>
      </c>
      <c r="S59" s="1047"/>
      <c r="T59" s="1048"/>
      <c r="U59" s="1048"/>
      <c r="V59" s="1699" t="str">
        <f t="shared" si="9"/>
        <v>-</v>
      </c>
      <c r="W59" s="1047"/>
      <c r="X59" s="1048"/>
      <c r="Y59" s="1048"/>
      <c r="Z59" s="1699" t="str">
        <f t="shared" si="10"/>
        <v>-</v>
      </c>
      <c r="AA59" s="1047"/>
      <c r="AB59" s="1048"/>
      <c r="AC59" s="1048"/>
      <c r="AD59" s="1699" t="str">
        <f t="shared" si="11"/>
        <v>-</v>
      </c>
      <c r="AE59" s="1282">
        <f t="shared" si="25"/>
        <v>0</v>
      </c>
      <c r="AF59" s="1283">
        <f t="shared" si="25"/>
        <v>0</v>
      </c>
      <c r="AG59" s="1283">
        <f t="shared" si="25"/>
        <v>0</v>
      </c>
      <c r="AH59" s="1691" t="str">
        <f t="shared" si="12"/>
        <v>-</v>
      </c>
      <c r="AI59" s="1047"/>
      <c r="AJ59" s="1048"/>
      <c r="AK59" s="1048"/>
      <c r="AL59" s="1699" t="str">
        <f t="shared" si="13"/>
        <v>-</v>
      </c>
      <c r="AM59" s="1047"/>
      <c r="AN59" s="1048"/>
      <c r="AO59" s="1048"/>
      <c r="AP59" s="1699" t="str">
        <f t="shared" si="14"/>
        <v>-</v>
      </c>
      <c r="AQ59" s="1047"/>
      <c r="AR59" s="1048"/>
      <c r="AS59" s="1048"/>
      <c r="AT59" s="1699" t="str">
        <f t="shared" si="15"/>
        <v>-</v>
      </c>
      <c r="AU59" s="442"/>
      <c r="AV59" s="442"/>
      <c r="AW59" s="442"/>
      <c r="AX59" s="442"/>
      <c r="AY59" s="442"/>
    </row>
    <row r="60" spans="1:51">
      <c r="A60" s="483">
        <f t="shared" si="17"/>
        <v>53</v>
      </c>
      <c r="B60" s="249">
        <v>6</v>
      </c>
      <c r="C60" s="1063" t="s">
        <v>690</v>
      </c>
      <c r="D60" s="862" t="s">
        <v>689</v>
      </c>
      <c r="E60" s="1064" t="s">
        <v>1257</v>
      </c>
      <c r="F60" s="863" t="s">
        <v>646</v>
      </c>
      <c r="G60" s="1282">
        <f t="shared" si="18"/>
        <v>0</v>
      </c>
      <c r="H60" s="1283">
        <f t="shared" si="19"/>
        <v>0</v>
      </c>
      <c r="I60" s="1283">
        <f t="shared" si="20"/>
        <v>0</v>
      </c>
      <c r="J60" s="1691" t="str">
        <f t="shared" si="3"/>
        <v>-</v>
      </c>
      <c r="K60" s="1282">
        <f t="shared" si="21"/>
        <v>0</v>
      </c>
      <c r="L60" s="1283">
        <f t="shared" si="22"/>
        <v>0</v>
      </c>
      <c r="M60" s="1283">
        <f t="shared" si="23"/>
        <v>0</v>
      </c>
      <c r="N60" s="1691" t="str">
        <f t="shared" si="7"/>
        <v>-</v>
      </c>
      <c r="O60" s="1047"/>
      <c r="P60" s="1048"/>
      <c r="Q60" s="1048"/>
      <c r="R60" s="1699" t="str">
        <f t="shared" si="8"/>
        <v>-</v>
      </c>
      <c r="S60" s="1047"/>
      <c r="T60" s="1048"/>
      <c r="U60" s="1048"/>
      <c r="V60" s="1699" t="str">
        <f t="shared" si="9"/>
        <v>-</v>
      </c>
      <c r="W60" s="1047"/>
      <c r="X60" s="1048"/>
      <c r="Y60" s="1048"/>
      <c r="Z60" s="1699" t="str">
        <f t="shared" si="10"/>
        <v>-</v>
      </c>
      <c r="AA60" s="1047"/>
      <c r="AB60" s="1048"/>
      <c r="AC60" s="1048"/>
      <c r="AD60" s="1699" t="str">
        <f t="shared" si="11"/>
        <v>-</v>
      </c>
      <c r="AE60" s="1282">
        <f t="shared" ref="AE60:AG60" si="26">+AI60+AM60+AQ60</f>
        <v>0</v>
      </c>
      <c r="AF60" s="1283">
        <f t="shared" si="26"/>
        <v>0</v>
      </c>
      <c r="AG60" s="1283">
        <f t="shared" si="26"/>
        <v>0</v>
      </c>
      <c r="AH60" s="1691" t="str">
        <f t="shared" si="12"/>
        <v>-</v>
      </c>
      <c r="AI60" s="1047"/>
      <c r="AJ60" s="1048"/>
      <c r="AK60" s="1048"/>
      <c r="AL60" s="1699" t="str">
        <f t="shared" si="13"/>
        <v>-</v>
      </c>
      <c r="AM60" s="1047"/>
      <c r="AN60" s="1048"/>
      <c r="AO60" s="1048"/>
      <c r="AP60" s="1699" t="str">
        <f t="shared" si="14"/>
        <v>-</v>
      </c>
      <c r="AQ60" s="1047"/>
      <c r="AR60" s="1048"/>
      <c r="AS60" s="1048"/>
      <c r="AT60" s="1699" t="str">
        <f t="shared" si="15"/>
        <v>-</v>
      </c>
      <c r="AU60" s="442"/>
      <c r="AV60" s="442"/>
      <c r="AW60" s="442"/>
      <c r="AX60" s="442"/>
      <c r="AY60" s="442"/>
    </row>
    <row r="61" spans="1:51">
      <c r="A61" s="483">
        <f t="shared" si="17"/>
        <v>54</v>
      </c>
      <c r="B61" s="249">
        <v>6</v>
      </c>
      <c r="C61" s="1063" t="s">
        <v>690</v>
      </c>
      <c r="D61" s="862" t="s">
        <v>689</v>
      </c>
      <c r="E61" s="1064" t="s">
        <v>1257</v>
      </c>
      <c r="F61" s="863" t="s">
        <v>647</v>
      </c>
      <c r="G61" s="1282">
        <f t="shared" si="18"/>
        <v>0</v>
      </c>
      <c r="H61" s="1283">
        <f t="shared" si="19"/>
        <v>0</v>
      </c>
      <c r="I61" s="1283">
        <f t="shared" si="20"/>
        <v>0</v>
      </c>
      <c r="J61" s="1691" t="str">
        <f t="shared" si="3"/>
        <v>-</v>
      </c>
      <c r="K61" s="1282">
        <f t="shared" si="21"/>
        <v>0</v>
      </c>
      <c r="L61" s="1283">
        <f t="shared" si="22"/>
        <v>0</v>
      </c>
      <c r="M61" s="1283">
        <f t="shared" si="23"/>
        <v>0</v>
      </c>
      <c r="N61" s="1691" t="str">
        <f t="shared" si="7"/>
        <v>-</v>
      </c>
      <c r="O61" s="1047"/>
      <c r="P61" s="1048"/>
      <c r="Q61" s="1048"/>
      <c r="R61" s="1699" t="str">
        <f t="shared" si="8"/>
        <v>-</v>
      </c>
      <c r="S61" s="1047"/>
      <c r="T61" s="1048"/>
      <c r="U61" s="1048"/>
      <c r="V61" s="1699" t="str">
        <f t="shared" si="9"/>
        <v>-</v>
      </c>
      <c r="W61" s="1047"/>
      <c r="X61" s="1048"/>
      <c r="Y61" s="1048"/>
      <c r="Z61" s="1699" t="str">
        <f t="shared" si="10"/>
        <v>-</v>
      </c>
      <c r="AA61" s="1047"/>
      <c r="AB61" s="1048"/>
      <c r="AC61" s="1048"/>
      <c r="AD61" s="1699" t="str">
        <f t="shared" si="11"/>
        <v>-</v>
      </c>
      <c r="AE61" s="1282">
        <f t="shared" ref="AE61:AG61" si="27">+AI61+AM61+AQ61</f>
        <v>0</v>
      </c>
      <c r="AF61" s="1283">
        <f t="shared" si="27"/>
        <v>0</v>
      </c>
      <c r="AG61" s="1283">
        <f t="shared" si="27"/>
        <v>0</v>
      </c>
      <c r="AH61" s="1691" t="str">
        <f t="shared" si="12"/>
        <v>-</v>
      </c>
      <c r="AI61" s="1047"/>
      <c r="AJ61" s="1048"/>
      <c r="AK61" s="1048"/>
      <c r="AL61" s="1699" t="str">
        <f t="shared" si="13"/>
        <v>-</v>
      </c>
      <c r="AM61" s="1047"/>
      <c r="AN61" s="1048"/>
      <c r="AO61" s="1048"/>
      <c r="AP61" s="1699" t="str">
        <f t="shared" si="14"/>
        <v>-</v>
      </c>
      <c r="AQ61" s="1047"/>
      <c r="AR61" s="1048"/>
      <c r="AS61" s="1048"/>
      <c r="AT61" s="1699" t="str">
        <f t="shared" si="15"/>
        <v>-</v>
      </c>
      <c r="AU61" s="442"/>
      <c r="AV61" s="442"/>
      <c r="AW61" s="442"/>
      <c r="AX61" s="442"/>
      <c r="AY61" s="442"/>
    </row>
    <row r="62" spans="1:51">
      <c r="A62" s="483">
        <f t="shared" si="17"/>
        <v>55</v>
      </c>
      <c r="B62" s="1213">
        <v>6</v>
      </c>
      <c r="C62" s="1063" t="s">
        <v>690</v>
      </c>
      <c r="D62" s="862" t="s">
        <v>689</v>
      </c>
      <c r="E62" s="1064" t="s">
        <v>1257</v>
      </c>
      <c r="F62" s="863" t="s">
        <v>648</v>
      </c>
      <c r="G62" s="1282">
        <f t="shared" si="18"/>
        <v>0</v>
      </c>
      <c r="H62" s="1283">
        <f t="shared" si="19"/>
        <v>0</v>
      </c>
      <c r="I62" s="1283">
        <f t="shared" si="20"/>
        <v>0</v>
      </c>
      <c r="J62" s="1691" t="str">
        <f t="shared" si="3"/>
        <v>-</v>
      </c>
      <c r="K62" s="1282">
        <f t="shared" si="21"/>
        <v>0</v>
      </c>
      <c r="L62" s="1283">
        <f t="shared" si="22"/>
        <v>0</v>
      </c>
      <c r="M62" s="1283">
        <f t="shared" si="23"/>
        <v>0</v>
      </c>
      <c r="N62" s="1691" t="str">
        <f t="shared" si="7"/>
        <v>-</v>
      </c>
      <c r="O62" s="1047"/>
      <c r="P62" s="1048"/>
      <c r="Q62" s="1048"/>
      <c r="R62" s="1699" t="str">
        <f t="shared" si="8"/>
        <v>-</v>
      </c>
      <c r="S62" s="1047"/>
      <c r="T62" s="1048"/>
      <c r="U62" s="1048"/>
      <c r="V62" s="1699" t="str">
        <f t="shared" si="9"/>
        <v>-</v>
      </c>
      <c r="W62" s="1047"/>
      <c r="X62" s="1048"/>
      <c r="Y62" s="1048"/>
      <c r="Z62" s="1699" t="str">
        <f t="shared" si="10"/>
        <v>-</v>
      </c>
      <c r="AA62" s="1047"/>
      <c r="AB62" s="1048"/>
      <c r="AC62" s="1048"/>
      <c r="AD62" s="1699" t="str">
        <f t="shared" si="11"/>
        <v>-</v>
      </c>
      <c r="AE62" s="1282">
        <f t="shared" ref="AE62:AG62" si="28">+AI62+AM62+AQ62</f>
        <v>0</v>
      </c>
      <c r="AF62" s="1283">
        <f t="shared" si="28"/>
        <v>0</v>
      </c>
      <c r="AG62" s="1283">
        <f t="shared" si="28"/>
        <v>0</v>
      </c>
      <c r="AH62" s="1691" t="str">
        <f t="shared" si="12"/>
        <v>-</v>
      </c>
      <c r="AI62" s="1047"/>
      <c r="AJ62" s="1048"/>
      <c r="AK62" s="1048"/>
      <c r="AL62" s="1699" t="str">
        <f t="shared" si="13"/>
        <v>-</v>
      </c>
      <c r="AM62" s="1047"/>
      <c r="AN62" s="1048"/>
      <c r="AO62" s="1048"/>
      <c r="AP62" s="1699" t="str">
        <f t="shared" si="14"/>
        <v>-</v>
      </c>
      <c r="AQ62" s="1047"/>
      <c r="AR62" s="1048"/>
      <c r="AS62" s="1048"/>
      <c r="AT62" s="1699" t="str">
        <f t="shared" si="15"/>
        <v>-</v>
      </c>
      <c r="AU62" s="442"/>
      <c r="AV62" s="442"/>
      <c r="AW62" s="442"/>
      <c r="AX62" s="442"/>
      <c r="AY62" s="442"/>
    </row>
    <row r="63" spans="1:51">
      <c r="A63" s="483">
        <f t="shared" si="17"/>
        <v>56</v>
      </c>
      <c r="B63" s="1213">
        <v>7</v>
      </c>
      <c r="C63" s="1063" t="s">
        <v>1291</v>
      </c>
      <c r="D63" s="862" t="s">
        <v>1304</v>
      </c>
      <c r="E63" s="1064" t="s">
        <v>1257</v>
      </c>
      <c r="F63" s="863" t="s">
        <v>1303</v>
      </c>
      <c r="G63" s="1282">
        <f t="shared" si="18"/>
        <v>0</v>
      </c>
      <c r="H63" s="1283">
        <f t="shared" si="19"/>
        <v>0</v>
      </c>
      <c r="I63" s="1283">
        <f t="shared" si="20"/>
        <v>0</v>
      </c>
      <c r="J63" s="1691" t="str">
        <f t="shared" si="3"/>
        <v>-</v>
      </c>
      <c r="K63" s="1282">
        <f t="shared" si="21"/>
        <v>0</v>
      </c>
      <c r="L63" s="1283">
        <f t="shared" si="22"/>
        <v>0</v>
      </c>
      <c r="M63" s="1283">
        <f t="shared" si="23"/>
        <v>0</v>
      </c>
      <c r="N63" s="1691" t="str">
        <f t="shared" si="7"/>
        <v>-</v>
      </c>
      <c r="O63" s="1047"/>
      <c r="P63" s="1048"/>
      <c r="Q63" s="1048"/>
      <c r="R63" s="1699" t="str">
        <f t="shared" si="8"/>
        <v>-</v>
      </c>
      <c r="S63" s="1047"/>
      <c r="T63" s="1048"/>
      <c r="U63" s="1048"/>
      <c r="V63" s="1699" t="str">
        <f t="shared" si="9"/>
        <v>-</v>
      </c>
      <c r="W63" s="1047"/>
      <c r="X63" s="1048"/>
      <c r="Y63" s="1048"/>
      <c r="Z63" s="1699" t="str">
        <f t="shared" si="10"/>
        <v>-</v>
      </c>
      <c r="AA63" s="1047"/>
      <c r="AB63" s="1048"/>
      <c r="AC63" s="1048"/>
      <c r="AD63" s="1699" t="str">
        <f t="shared" si="11"/>
        <v>-</v>
      </c>
      <c r="AE63" s="1282">
        <f t="shared" ref="AE63:AG63" si="29">+AI63+AM63+AQ63</f>
        <v>0</v>
      </c>
      <c r="AF63" s="1283">
        <f t="shared" si="29"/>
        <v>0</v>
      </c>
      <c r="AG63" s="1283">
        <f t="shared" si="29"/>
        <v>0</v>
      </c>
      <c r="AH63" s="1691" t="str">
        <f t="shared" si="12"/>
        <v>-</v>
      </c>
      <c r="AI63" s="1047"/>
      <c r="AJ63" s="1048"/>
      <c r="AK63" s="1048"/>
      <c r="AL63" s="1699" t="str">
        <f t="shared" si="13"/>
        <v>-</v>
      </c>
      <c r="AM63" s="1047"/>
      <c r="AN63" s="1048"/>
      <c r="AO63" s="1048"/>
      <c r="AP63" s="1699" t="str">
        <f t="shared" si="14"/>
        <v>-</v>
      </c>
      <c r="AQ63" s="1047"/>
      <c r="AR63" s="1048"/>
      <c r="AS63" s="1048"/>
      <c r="AT63" s="1699" t="str">
        <f t="shared" si="15"/>
        <v>-</v>
      </c>
      <c r="AU63" s="442"/>
      <c r="AV63" s="442"/>
      <c r="AW63" s="442"/>
      <c r="AX63" s="442"/>
      <c r="AY63" s="442"/>
    </row>
    <row r="64" spans="1:51">
      <c r="A64" s="483">
        <f t="shared" si="17"/>
        <v>57</v>
      </c>
      <c r="B64" s="1213">
        <v>8</v>
      </c>
      <c r="C64" s="1063" t="s">
        <v>1046</v>
      </c>
      <c r="D64" s="862" t="s">
        <v>1048</v>
      </c>
      <c r="E64" s="1064" t="s">
        <v>1257</v>
      </c>
      <c r="F64" s="863" t="s">
        <v>1047</v>
      </c>
      <c r="G64" s="1282">
        <f t="shared" si="18"/>
        <v>0</v>
      </c>
      <c r="H64" s="1283">
        <f t="shared" si="19"/>
        <v>0</v>
      </c>
      <c r="I64" s="1283">
        <f t="shared" si="20"/>
        <v>0</v>
      </c>
      <c r="J64" s="1691" t="str">
        <f t="shared" si="3"/>
        <v>-</v>
      </c>
      <c r="K64" s="1282">
        <f t="shared" si="21"/>
        <v>0</v>
      </c>
      <c r="L64" s="1283">
        <f t="shared" si="22"/>
        <v>0</v>
      </c>
      <c r="M64" s="1283">
        <f t="shared" si="23"/>
        <v>0</v>
      </c>
      <c r="N64" s="1691" t="str">
        <f t="shared" si="7"/>
        <v>-</v>
      </c>
      <c r="O64" s="1047"/>
      <c r="P64" s="1048"/>
      <c r="Q64" s="1048"/>
      <c r="R64" s="1699" t="str">
        <f t="shared" si="8"/>
        <v>-</v>
      </c>
      <c r="S64" s="1047"/>
      <c r="T64" s="1048"/>
      <c r="U64" s="1048"/>
      <c r="V64" s="1699" t="str">
        <f t="shared" si="9"/>
        <v>-</v>
      </c>
      <c r="W64" s="1047"/>
      <c r="X64" s="1048"/>
      <c r="Y64" s="1048"/>
      <c r="Z64" s="1699" t="str">
        <f t="shared" si="10"/>
        <v>-</v>
      </c>
      <c r="AA64" s="1047"/>
      <c r="AB64" s="1048"/>
      <c r="AC64" s="1048"/>
      <c r="AD64" s="1699" t="str">
        <f t="shared" si="11"/>
        <v>-</v>
      </c>
      <c r="AE64" s="1282">
        <f t="shared" ref="AE64:AG64" si="30">+AI64+AM64+AQ64</f>
        <v>0</v>
      </c>
      <c r="AF64" s="1283">
        <f t="shared" si="30"/>
        <v>0</v>
      </c>
      <c r="AG64" s="1283">
        <f t="shared" si="30"/>
        <v>0</v>
      </c>
      <c r="AH64" s="1691" t="str">
        <f t="shared" si="12"/>
        <v>-</v>
      </c>
      <c r="AI64" s="1047"/>
      <c r="AJ64" s="1048"/>
      <c r="AK64" s="1048"/>
      <c r="AL64" s="1699" t="str">
        <f t="shared" si="13"/>
        <v>-</v>
      </c>
      <c r="AM64" s="1047"/>
      <c r="AN64" s="1048"/>
      <c r="AO64" s="1048"/>
      <c r="AP64" s="1699" t="str">
        <f t="shared" si="14"/>
        <v>-</v>
      </c>
      <c r="AQ64" s="1047"/>
      <c r="AR64" s="1048"/>
      <c r="AS64" s="1048"/>
      <c r="AT64" s="1699" t="str">
        <f t="shared" si="15"/>
        <v>-</v>
      </c>
      <c r="AU64" s="442"/>
      <c r="AV64" s="442"/>
      <c r="AW64" s="442"/>
      <c r="AX64" s="442"/>
      <c r="AY64" s="442"/>
    </row>
    <row r="65" spans="1:51">
      <c r="A65" s="483">
        <f t="shared" si="17"/>
        <v>58</v>
      </c>
      <c r="B65" s="1213">
        <v>6</v>
      </c>
      <c r="C65" s="1063" t="s">
        <v>1066</v>
      </c>
      <c r="D65" s="862" t="s">
        <v>1068</v>
      </c>
      <c r="E65" s="1064" t="s">
        <v>1268</v>
      </c>
      <c r="F65" s="863" t="s">
        <v>1068</v>
      </c>
      <c r="G65" s="1282">
        <f t="shared" si="18"/>
        <v>0</v>
      </c>
      <c r="H65" s="1283">
        <f t="shared" si="19"/>
        <v>0</v>
      </c>
      <c r="I65" s="1283">
        <f t="shared" si="20"/>
        <v>0</v>
      </c>
      <c r="J65" s="1691" t="str">
        <f t="shared" si="3"/>
        <v>-</v>
      </c>
      <c r="K65" s="1282">
        <f t="shared" si="21"/>
        <v>0</v>
      </c>
      <c r="L65" s="1283">
        <f t="shared" si="22"/>
        <v>0</v>
      </c>
      <c r="M65" s="1283">
        <f t="shared" si="23"/>
        <v>0</v>
      </c>
      <c r="N65" s="1691" t="str">
        <f t="shared" si="7"/>
        <v>-</v>
      </c>
      <c r="O65" s="1047"/>
      <c r="P65" s="1048"/>
      <c r="Q65" s="1048"/>
      <c r="R65" s="1699" t="str">
        <f t="shared" si="8"/>
        <v>-</v>
      </c>
      <c r="S65" s="1047"/>
      <c r="T65" s="1048"/>
      <c r="U65" s="1048"/>
      <c r="V65" s="1699" t="str">
        <f t="shared" si="9"/>
        <v>-</v>
      </c>
      <c r="W65" s="1047"/>
      <c r="X65" s="1048"/>
      <c r="Y65" s="1048"/>
      <c r="Z65" s="1699" t="str">
        <f t="shared" si="10"/>
        <v>-</v>
      </c>
      <c r="AA65" s="1047"/>
      <c r="AB65" s="1048"/>
      <c r="AC65" s="1048"/>
      <c r="AD65" s="1699" t="str">
        <f t="shared" si="11"/>
        <v>-</v>
      </c>
      <c r="AE65" s="1282">
        <f t="shared" ref="AE65:AG65" si="31">+AI65+AM65+AQ65</f>
        <v>0</v>
      </c>
      <c r="AF65" s="1283">
        <f t="shared" si="31"/>
        <v>0</v>
      </c>
      <c r="AG65" s="1283">
        <f t="shared" si="31"/>
        <v>0</v>
      </c>
      <c r="AH65" s="1691" t="str">
        <f t="shared" si="12"/>
        <v>-</v>
      </c>
      <c r="AI65" s="1047"/>
      <c r="AJ65" s="1048"/>
      <c r="AK65" s="1048"/>
      <c r="AL65" s="1699" t="str">
        <f t="shared" si="13"/>
        <v>-</v>
      </c>
      <c r="AM65" s="1047"/>
      <c r="AN65" s="1048"/>
      <c r="AO65" s="1048"/>
      <c r="AP65" s="1699" t="str">
        <f t="shared" si="14"/>
        <v>-</v>
      </c>
      <c r="AQ65" s="1047"/>
      <c r="AR65" s="1048"/>
      <c r="AS65" s="1048"/>
      <c r="AT65" s="1699" t="str">
        <f t="shared" si="15"/>
        <v>-</v>
      </c>
      <c r="AU65" s="442"/>
      <c r="AV65" s="442"/>
      <c r="AW65" s="442"/>
      <c r="AX65" s="442"/>
      <c r="AY65" s="442"/>
    </row>
    <row r="66" spans="1:51">
      <c r="A66" s="483">
        <f t="shared" si="17"/>
        <v>59</v>
      </c>
      <c r="B66" s="1213">
        <v>6</v>
      </c>
      <c r="C66" s="1063" t="s">
        <v>685</v>
      </c>
      <c r="D66" s="862" t="s">
        <v>686</v>
      </c>
      <c r="E66" s="1064" t="s">
        <v>1257</v>
      </c>
      <c r="F66" s="863" t="s">
        <v>1041</v>
      </c>
      <c r="G66" s="1282">
        <f t="shared" si="18"/>
        <v>0</v>
      </c>
      <c r="H66" s="1283">
        <f t="shared" si="19"/>
        <v>0</v>
      </c>
      <c r="I66" s="1283">
        <f t="shared" si="20"/>
        <v>0</v>
      </c>
      <c r="J66" s="1691" t="str">
        <f t="shared" si="3"/>
        <v>-</v>
      </c>
      <c r="K66" s="1282">
        <f t="shared" si="21"/>
        <v>0</v>
      </c>
      <c r="L66" s="1283">
        <f t="shared" si="22"/>
        <v>0</v>
      </c>
      <c r="M66" s="1283">
        <f t="shared" si="23"/>
        <v>0</v>
      </c>
      <c r="N66" s="1691" t="str">
        <f t="shared" si="7"/>
        <v>-</v>
      </c>
      <c r="O66" s="1047"/>
      <c r="P66" s="1048"/>
      <c r="Q66" s="1048"/>
      <c r="R66" s="1699" t="str">
        <f t="shared" si="8"/>
        <v>-</v>
      </c>
      <c r="S66" s="1047"/>
      <c r="T66" s="1048"/>
      <c r="U66" s="1048"/>
      <c r="V66" s="1699" t="str">
        <f t="shared" si="9"/>
        <v>-</v>
      </c>
      <c r="W66" s="1047"/>
      <c r="X66" s="1048"/>
      <c r="Y66" s="1048"/>
      <c r="Z66" s="1699" t="str">
        <f t="shared" si="10"/>
        <v>-</v>
      </c>
      <c r="AA66" s="1047"/>
      <c r="AB66" s="1048"/>
      <c r="AC66" s="1048"/>
      <c r="AD66" s="1699" t="str">
        <f t="shared" si="11"/>
        <v>-</v>
      </c>
      <c r="AE66" s="1282">
        <f t="shared" ref="AE66:AG66" si="32">+AI66+AM66+AQ66</f>
        <v>0</v>
      </c>
      <c r="AF66" s="1283">
        <f t="shared" si="32"/>
        <v>0</v>
      </c>
      <c r="AG66" s="1283">
        <f t="shared" si="32"/>
        <v>0</v>
      </c>
      <c r="AH66" s="1691" t="str">
        <f t="shared" si="12"/>
        <v>-</v>
      </c>
      <c r="AI66" s="1047"/>
      <c r="AJ66" s="1048"/>
      <c r="AK66" s="1048"/>
      <c r="AL66" s="1699" t="str">
        <f t="shared" si="13"/>
        <v>-</v>
      </c>
      <c r="AM66" s="1047"/>
      <c r="AN66" s="1048"/>
      <c r="AO66" s="1048"/>
      <c r="AP66" s="1699" t="str">
        <f t="shared" si="14"/>
        <v>-</v>
      </c>
      <c r="AQ66" s="1047"/>
      <c r="AR66" s="1048"/>
      <c r="AS66" s="1048"/>
      <c r="AT66" s="1699" t="str">
        <f t="shared" si="15"/>
        <v>-</v>
      </c>
      <c r="AU66" s="442"/>
      <c r="AV66" s="442"/>
      <c r="AW66" s="442"/>
      <c r="AX66" s="442"/>
      <c r="AY66" s="442"/>
    </row>
    <row r="67" spans="1:51">
      <c r="A67" s="483">
        <f t="shared" si="17"/>
        <v>60</v>
      </c>
      <c r="B67" s="1213">
        <v>6</v>
      </c>
      <c r="C67" s="1063" t="s">
        <v>691</v>
      </c>
      <c r="D67" s="862" t="s">
        <v>692</v>
      </c>
      <c r="E67" s="1064" t="s">
        <v>1257</v>
      </c>
      <c r="F67" s="863" t="s">
        <v>1043</v>
      </c>
      <c r="G67" s="1282">
        <f t="shared" si="18"/>
        <v>0</v>
      </c>
      <c r="H67" s="1283">
        <f t="shared" si="19"/>
        <v>0</v>
      </c>
      <c r="I67" s="1283">
        <f t="shared" si="20"/>
        <v>0</v>
      </c>
      <c r="J67" s="1691" t="str">
        <f t="shared" si="3"/>
        <v>-</v>
      </c>
      <c r="K67" s="1282">
        <f t="shared" si="21"/>
        <v>0</v>
      </c>
      <c r="L67" s="1283">
        <f t="shared" si="22"/>
        <v>0</v>
      </c>
      <c r="M67" s="1283">
        <f t="shared" si="23"/>
        <v>0</v>
      </c>
      <c r="N67" s="1691" t="str">
        <f t="shared" si="7"/>
        <v>-</v>
      </c>
      <c r="O67" s="1047"/>
      <c r="P67" s="1048"/>
      <c r="Q67" s="1048"/>
      <c r="R67" s="1699" t="str">
        <f t="shared" si="8"/>
        <v>-</v>
      </c>
      <c r="S67" s="1047"/>
      <c r="T67" s="1048"/>
      <c r="U67" s="1048"/>
      <c r="V67" s="1699" t="str">
        <f t="shared" si="9"/>
        <v>-</v>
      </c>
      <c r="W67" s="1047"/>
      <c r="X67" s="1048"/>
      <c r="Y67" s="1048"/>
      <c r="Z67" s="1699" t="str">
        <f t="shared" si="10"/>
        <v>-</v>
      </c>
      <c r="AA67" s="1047"/>
      <c r="AB67" s="1048"/>
      <c r="AC67" s="1048"/>
      <c r="AD67" s="1699" t="str">
        <f t="shared" si="11"/>
        <v>-</v>
      </c>
      <c r="AE67" s="1282">
        <f t="shared" ref="AE67:AG78" si="33">+AI67+AM67+AQ67</f>
        <v>0</v>
      </c>
      <c r="AF67" s="1283">
        <f t="shared" si="33"/>
        <v>0</v>
      </c>
      <c r="AG67" s="1283">
        <f t="shared" si="33"/>
        <v>0</v>
      </c>
      <c r="AH67" s="1691" t="str">
        <f t="shared" si="12"/>
        <v>-</v>
      </c>
      <c r="AI67" s="1047"/>
      <c r="AJ67" s="1048"/>
      <c r="AK67" s="1048"/>
      <c r="AL67" s="1699" t="str">
        <f t="shared" si="13"/>
        <v>-</v>
      </c>
      <c r="AM67" s="1047"/>
      <c r="AN67" s="1048"/>
      <c r="AO67" s="1048"/>
      <c r="AP67" s="1699" t="str">
        <f t="shared" si="14"/>
        <v>-</v>
      </c>
      <c r="AQ67" s="1047"/>
      <c r="AR67" s="1048"/>
      <c r="AS67" s="1048"/>
      <c r="AT67" s="1699" t="str">
        <f t="shared" si="15"/>
        <v>-</v>
      </c>
      <c r="AU67" s="442"/>
      <c r="AV67" s="442"/>
      <c r="AW67" s="442"/>
      <c r="AX67" s="442"/>
      <c r="AY67" s="442"/>
    </row>
    <row r="68" spans="1:51">
      <c r="A68" s="483">
        <f t="shared" si="17"/>
        <v>61</v>
      </c>
      <c r="B68" s="1213">
        <v>6</v>
      </c>
      <c r="C68" s="1063" t="s">
        <v>691</v>
      </c>
      <c r="D68" s="862" t="s">
        <v>696</v>
      </c>
      <c r="E68" s="1064" t="s">
        <v>1257</v>
      </c>
      <c r="F68" s="863" t="s">
        <v>649</v>
      </c>
      <c r="G68" s="1282">
        <f t="shared" si="18"/>
        <v>0</v>
      </c>
      <c r="H68" s="1283">
        <f t="shared" si="19"/>
        <v>0</v>
      </c>
      <c r="I68" s="1283">
        <f t="shared" si="20"/>
        <v>0</v>
      </c>
      <c r="J68" s="1691" t="str">
        <f t="shared" si="3"/>
        <v>-</v>
      </c>
      <c r="K68" s="1282">
        <f t="shared" si="21"/>
        <v>0</v>
      </c>
      <c r="L68" s="1283">
        <f t="shared" si="22"/>
        <v>0</v>
      </c>
      <c r="M68" s="1283">
        <f t="shared" si="23"/>
        <v>0</v>
      </c>
      <c r="N68" s="1691" t="str">
        <f t="shared" si="7"/>
        <v>-</v>
      </c>
      <c r="O68" s="1047"/>
      <c r="P68" s="1048"/>
      <c r="Q68" s="1048"/>
      <c r="R68" s="1699" t="str">
        <f t="shared" si="8"/>
        <v>-</v>
      </c>
      <c r="S68" s="1047"/>
      <c r="T68" s="1048"/>
      <c r="U68" s="1048"/>
      <c r="V68" s="1699" t="str">
        <f t="shared" si="9"/>
        <v>-</v>
      </c>
      <c r="W68" s="1047"/>
      <c r="X68" s="1048"/>
      <c r="Y68" s="1048"/>
      <c r="Z68" s="1699" t="str">
        <f t="shared" si="10"/>
        <v>-</v>
      </c>
      <c r="AA68" s="1047"/>
      <c r="AB68" s="1048"/>
      <c r="AC68" s="1048"/>
      <c r="AD68" s="1699" t="str">
        <f t="shared" si="11"/>
        <v>-</v>
      </c>
      <c r="AE68" s="1282">
        <f t="shared" si="33"/>
        <v>0</v>
      </c>
      <c r="AF68" s="1283">
        <f t="shared" si="33"/>
        <v>0</v>
      </c>
      <c r="AG68" s="1283">
        <f t="shared" si="33"/>
        <v>0</v>
      </c>
      <c r="AH68" s="1691" t="str">
        <f t="shared" si="12"/>
        <v>-</v>
      </c>
      <c r="AI68" s="1047"/>
      <c r="AJ68" s="1048"/>
      <c r="AK68" s="1048"/>
      <c r="AL68" s="1699" t="str">
        <f t="shared" si="13"/>
        <v>-</v>
      </c>
      <c r="AM68" s="1047"/>
      <c r="AN68" s="1048"/>
      <c r="AO68" s="1048"/>
      <c r="AP68" s="1699" t="str">
        <f t="shared" si="14"/>
        <v>-</v>
      </c>
      <c r="AQ68" s="1047"/>
      <c r="AR68" s="1048"/>
      <c r="AS68" s="1048"/>
      <c r="AT68" s="1699" t="str">
        <f t="shared" si="15"/>
        <v>-</v>
      </c>
      <c r="AU68" s="442"/>
      <c r="AV68" s="442"/>
      <c r="AW68" s="442"/>
      <c r="AX68" s="442"/>
      <c r="AY68" s="442"/>
    </row>
    <row r="69" spans="1:51">
      <c r="A69" s="483">
        <f t="shared" si="17"/>
        <v>62</v>
      </c>
      <c r="B69" s="1213">
        <v>7</v>
      </c>
      <c r="C69" s="1063" t="s">
        <v>711</v>
      </c>
      <c r="D69" s="862" t="s">
        <v>1334</v>
      </c>
      <c r="E69" s="1064" t="s">
        <v>1260</v>
      </c>
      <c r="F69" s="863" t="s">
        <v>1335</v>
      </c>
      <c r="G69" s="1282">
        <f t="shared" si="18"/>
        <v>0</v>
      </c>
      <c r="H69" s="1283">
        <f t="shared" si="19"/>
        <v>0</v>
      </c>
      <c r="I69" s="1283">
        <f t="shared" si="20"/>
        <v>0</v>
      </c>
      <c r="J69" s="1691" t="str">
        <f t="shared" si="3"/>
        <v>-</v>
      </c>
      <c r="K69" s="1282">
        <f t="shared" si="21"/>
        <v>0</v>
      </c>
      <c r="L69" s="1283">
        <f t="shared" si="22"/>
        <v>0</v>
      </c>
      <c r="M69" s="1283">
        <f t="shared" si="23"/>
        <v>0</v>
      </c>
      <c r="N69" s="1691" t="str">
        <f t="shared" si="7"/>
        <v>-</v>
      </c>
      <c r="O69" s="1047"/>
      <c r="P69" s="1048"/>
      <c r="Q69" s="1048"/>
      <c r="R69" s="1699" t="str">
        <f t="shared" si="8"/>
        <v>-</v>
      </c>
      <c r="S69" s="1047"/>
      <c r="T69" s="1048"/>
      <c r="U69" s="1048"/>
      <c r="V69" s="1699" t="str">
        <f t="shared" si="9"/>
        <v>-</v>
      </c>
      <c r="W69" s="1047"/>
      <c r="X69" s="1048"/>
      <c r="Y69" s="1048"/>
      <c r="Z69" s="1699" t="str">
        <f t="shared" si="10"/>
        <v>-</v>
      </c>
      <c r="AA69" s="1047"/>
      <c r="AB69" s="1048"/>
      <c r="AC69" s="1048"/>
      <c r="AD69" s="1699" t="str">
        <f t="shared" si="11"/>
        <v>-</v>
      </c>
      <c r="AE69" s="1282">
        <f t="shared" ref="AE69:AG69" si="34">+AI69+AM69+AQ69</f>
        <v>0</v>
      </c>
      <c r="AF69" s="1283">
        <f t="shared" si="34"/>
        <v>0</v>
      </c>
      <c r="AG69" s="1283">
        <f t="shared" si="34"/>
        <v>0</v>
      </c>
      <c r="AH69" s="1691" t="str">
        <f t="shared" si="12"/>
        <v>-</v>
      </c>
      <c r="AI69" s="1047"/>
      <c r="AJ69" s="1048"/>
      <c r="AK69" s="1048"/>
      <c r="AL69" s="1699" t="str">
        <f t="shared" si="13"/>
        <v>-</v>
      </c>
      <c r="AM69" s="1047"/>
      <c r="AN69" s="1048"/>
      <c r="AO69" s="1048"/>
      <c r="AP69" s="1699" t="str">
        <f t="shared" si="14"/>
        <v>-</v>
      </c>
      <c r="AQ69" s="1047"/>
      <c r="AR69" s="1048"/>
      <c r="AS69" s="1048"/>
      <c r="AT69" s="1699" t="str">
        <f t="shared" si="15"/>
        <v>-</v>
      </c>
      <c r="AU69" s="442"/>
      <c r="AV69" s="442"/>
      <c r="AW69" s="442"/>
      <c r="AX69" s="442"/>
      <c r="AY69" s="442"/>
    </row>
    <row r="70" spans="1:51">
      <c r="A70" s="483">
        <f t="shared" si="17"/>
        <v>63</v>
      </c>
      <c r="B70" s="1213">
        <v>7</v>
      </c>
      <c r="C70" s="1063" t="s">
        <v>1286</v>
      </c>
      <c r="D70" s="862" t="s">
        <v>1284</v>
      </c>
      <c r="E70" s="1064" t="s">
        <v>1257</v>
      </c>
      <c r="F70" s="863" t="s">
        <v>1336</v>
      </c>
      <c r="G70" s="1282">
        <f t="shared" si="18"/>
        <v>0</v>
      </c>
      <c r="H70" s="1283">
        <f t="shared" si="19"/>
        <v>0</v>
      </c>
      <c r="I70" s="1283">
        <f t="shared" si="20"/>
        <v>0</v>
      </c>
      <c r="J70" s="1691" t="str">
        <f t="shared" si="3"/>
        <v>-</v>
      </c>
      <c r="K70" s="1282">
        <f t="shared" si="21"/>
        <v>0</v>
      </c>
      <c r="L70" s="1283">
        <f t="shared" si="22"/>
        <v>0</v>
      </c>
      <c r="M70" s="1283">
        <f t="shared" si="23"/>
        <v>0</v>
      </c>
      <c r="N70" s="1691" t="str">
        <f t="shared" si="7"/>
        <v>-</v>
      </c>
      <c r="O70" s="1047"/>
      <c r="P70" s="1048"/>
      <c r="Q70" s="1048"/>
      <c r="R70" s="1699" t="str">
        <f t="shared" si="8"/>
        <v>-</v>
      </c>
      <c r="S70" s="1047"/>
      <c r="T70" s="1048"/>
      <c r="U70" s="1048"/>
      <c r="V70" s="1699" t="str">
        <f t="shared" si="9"/>
        <v>-</v>
      </c>
      <c r="W70" s="1047"/>
      <c r="X70" s="1048"/>
      <c r="Y70" s="1048"/>
      <c r="Z70" s="1699" t="str">
        <f t="shared" si="10"/>
        <v>-</v>
      </c>
      <c r="AA70" s="1047"/>
      <c r="AB70" s="1048"/>
      <c r="AC70" s="1048"/>
      <c r="AD70" s="1699" t="str">
        <f t="shared" si="11"/>
        <v>-</v>
      </c>
      <c r="AE70" s="1282">
        <f t="shared" si="33"/>
        <v>0</v>
      </c>
      <c r="AF70" s="1283">
        <f t="shared" si="33"/>
        <v>0</v>
      </c>
      <c r="AG70" s="1283">
        <f t="shared" si="33"/>
        <v>0</v>
      </c>
      <c r="AH70" s="1691" t="str">
        <f t="shared" si="12"/>
        <v>-</v>
      </c>
      <c r="AI70" s="1047"/>
      <c r="AJ70" s="1048"/>
      <c r="AK70" s="1048"/>
      <c r="AL70" s="1699" t="str">
        <f t="shared" si="13"/>
        <v>-</v>
      </c>
      <c r="AM70" s="1047"/>
      <c r="AN70" s="1048"/>
      <c r="AO70" s="1048"/>
      <c r="AP70" s="1699" t="str">
        <f t="shared" si="14"/>
        <v>-</v>
      </c>
      <c r="AQ70" s="1047"/>
      <c r="AR70" s="1048"/>
      <c r="AS70" s="1048"/>
      <c r="AT70" s="1699" t="str">
        <f t="shared" si="15"/>
        <v>-</v>
      </c>
      <c r="AU70" s="442"/>
      <c r="AV70" s="442"/>
      <c r="AW70" s="442"/>
      <c r="AX70" s="442"/>
      <c r="AY70" s="442"/>
    </row>
    <row r="71" spans="1:51">
      <c r="A71" s="483">
        <f t="shared" si="17"/>
        <v>64</v>
      </c>
      <c r="B71" s="1213">
        <v>7</v>
      </c>
      <c r="C71" s="1063" t="s">
        <v>1291</v>
      </c>
      <c r="D71" s="862" t="s">
        <v>1338</v>
      </c>
      <c r="E71" s="1064" t="s">
        <v>1257</v>
      </c>
      <c r="F71" s="863" t="s">
        <v>1337</v>
      </c>
      <c r="G71" s="1282">
        <f t="shared" si="18"/>
        <v>0</v>
      </c>
      <c r="H71" s="1283">
        <f t="shared" si="19"/>
        <v>0</v>
      </c>
      <c r="I71" s="1283">
        <f t="shared" si="20"/>
        <v>0</v>
      </c>
      <c r="J71" s="1691" t="str">
        <f t="shared" si="3"/>
        <v>-</v>
      </c>
      <c r="K71" s="1282">
        <f t="shared" si="21"/>
        <v>0</v>
      </c>
      <c r="L71" s="1283">
        <f t="shared" si="22"/>
        <v>0</v>
      </c>
      <c r="M71" s="1283">
        <f t="shared" si="23"/>
        <v>0</v>
      </c>
      <c r="N71" s="1691" t="str">
        <f t="shared" si="7"/>
        <v>-</v>
      </c>
      <c r="O71" s="1047"/>
      <c r="P71" s="1048"/>
      <c r="Q71" s="1048"/>
      <c r="R71" s="1699" t="str">
        <f t="shared" si="8"/>
        <v>-</v>
      </c>
      <c r="S71" s="1047"/>
      <c r="T71" s="1048"/>
      <c r="U71" s="1048"/>
      <c r="V71" s="1699" t="str">
        <f t="shared" si="9"/>
        <v>-</v>
      </c>
      <c r="W71" s="1047"/>
      <c r="X71" s="1048"/>
      <c r="Y71" s="1048"/>
      <c r="Z71" s="1699" t="str">
        <f t="shared" si="10"/>
        <v>-</v>
      </c>
      <c r="AA71" s="1047"/>
      <c r="AB71" s="1048"/>
      <c r="AC71" s="1048"/>
      <c r="AD71" s="1699" t="str">
        <f t="shared" si="11"/>
        <v>-</v>
      </c>
      <c r="AE71" s="1282">
        <f t="shared" ref="AE71:AG71" si="35">+AI71+AM71+AQ71</f>
        <v>0</v>
      </c>
      <c r="AF71" s="1283">
        <f t="shared" si="35"/>
        <v>0</v>
      </c>
      <c r="AG71" s="1283">
        <f t="shared" si="35"/>
        <v>0</v>
      </c>
      <c r="AH71" s="1691" t="str">
        <f t="shared" si="12"/>
        <v>-</v>
      </c>
      <c r="AI71" s="1047"/>
      <c r="AJ71" s="1048"/>
      <c r="AK71" s="1048"/>
      <c r="AL71" s="1699" t="str">
        <f t="shared" si="13"/>
        <v>-</v>
      </c>
      <c r="AM71" s="1047"/>
      <c r="AN71" s="1048"/>
      <c r="AO71" s="1048"/>
      <c r="AP71" s="1699" t="str">
        <f t="shared" si="14"/>
        <v>-</v>
      </c>
      <c r="AQ71" s="1047"/>
      <c r="AR71" s="1048"/>
      <c r="AS71" s="1048"/>
      <c r="AT71" s="1699" t="str">
        <f t="shared" si="15"/>
        <v>-</v>
      </c>
      <c r="AU71" s="442"/>
      <c r="AV71" s="442"/>
      <c r="AW71" s="442"/>
      <c r="AX71" s="442"/>
      <c r="AY71" s="442"/>
    </row>
    <row r="72" spans="1:51">
      <c r="A72" s="483">
        <f t="shared" si="17"/>
        <v>65</v>
      </c>
      <c r="B72" s="1213">
        <v>7</v>
      </c>
      <c r="C72" s="1063" t="s">
        <v>1339</v>
      </c>
      <c r="D72" s="862" t="s">
        <v>1340</v>
      </c>
      <c r="E72" s="1064" t="s">
        <v>1257</v>
      </c>
      <c r="F72" s="863" t="s">
        <v>1341</v>
      </c>
      <c r="G72" s="1282">
        <f t="shared" ref="G72:G80" si="36">+K72+AE72</f>
        <v>0</v>
      </c>
      <c r="H72" s="1283">
        <f t="shared" ref="H72:H80" si="37">+L72+AF72</f>
        <v>89875</v>
      </c>
      <c r="I72" s="1283">
        <f t="shared" ref="I72:I80" si="38">+M72+AG72</f>
        <v>89875</v>
      </c>
      <c r="J72" s="1691">
        <f t="shared" ref="J72:J91" si="39">IF(ISERROR(I72/H72),"-",I72/H72)</f>
        <v>1</v>
      </c>
      <c r="K72" s="1282">
        <f t="shared" ref="K72:K80" si="40">+O72+S72+W72+AA72</f>
        <v>0</v>
      </c>
      <c r="L72" s="1283">
        <f t="shared" ref="L72:L80" si="41">+P72+T72+X72+AB72</f>
        <v>89875</v>
      </c>
      <c r="M72" s="1283">
        <f t="shared" ref="M72:M80" si="42">+Q72+U72+Y72+AC72</f>
        <v>89875</v>
      </c>
      <c r="N72" s="1691">
        <f t="shared" ref="N72:N91" si="43">IF(ISERROR(M72/L72),"-",M72/L72)</f>
        <v>1</v>
      </c>
      <c r="O72" s="1047"/>
      <c r="P72" s="1048">
        <v>89875</v>
      </c>
      <c r="Q72" s="1048">
        <v>89875</v>
      </c>
      <c r="R72" s="1699">
        <f t="shared" ref="R72:R91" si="44">IF(ISERROR(Q72/P72),"-",Q72/P72)</f>
        <v>1</v>
      </c>
      <c r="S72" s="1047"/>
      <c r="T72" s="1048"/>
      <c r="U72" s="1048"/>
      <c r="V72" s="1699" t="str">
        <f t="shared" ref="V72:V91" si="45">IF(ISERROR(U72/T72),"-",U72/T72)</f>
        <v>-</v>
      </c>
      <c r="W72" s="1047"/>
      <c r="X72" s="1048"/>
      <c r="Y72" s="1048"/>
      <c r="Z72" s="1699" t="str">
        <f t="shared" ref="Z72:Z91" si="46">IF(ISERROR(Y72/X72),"-",Y72/X72)</f>
        <v>-</v>
      </c>
      <c r="AA72" s="1047"/>
      <c r="AB72" s="1048"/>
      <c r="AC72" s="1048"/>
      <c r="AD72" s="1699" t="str">
        <f t="shared" ref="AD72:AD91" si="47">IF(ISERROR(AC72/AB72),"-",AC72/AB72)</f>
        <v>-</v>
      </c>
      <c r="AE72" s="1282">
        <f t="shared" si="33"/>
        <v>0</v>
      </c>
      <c r="AF72" s="1283">
        <f t="shared" si="33"/>
        <v>0</v>
      </c>
      <c r="AG72" s="1283">
        <f t="shared" si="33"/>
        <v>0</v>
      </c>
      <c r="AH72" s="1691" t="str">
        <f t="shared" ref="AH72:AH91" si="48">IF(ISERROR(AG72/AF72),"-",AG72/AF72)</f>
        <v>-</v>
      </c>
      <c r="AI72" s="1047"/>
      <c r="AJ72" s="1048"/>
      <c r="AK72" s="1048"/>
      <c r="AL72" s="1699" t="str">
        <f t="shared" ref="AL72:AL91" si="49">IF(ISERROR(AK72/AJ72),"-",AK72/AJ72)</f>
        <v>-</v>
      </c>
      <c r="AM72" s="1047"/>
      <c r="AN72" s="1048"/>
      <c r="AO72" s="1048"/>
      <c r="AP72" s="1699" t="str">
        <f t="shared" ref="AP72:AP91" si="50">IF(ISERROR(AO72/AN72),"-",AO72/AN72)</f>
        <v>-</v>
      </c>
      <c r="AQ72" s="1047"/>
      <c r="AR72" s="1048"/>
      <c r="AS72" s="1048"/>
      <c r="AT72" s="1699" t="str">
        <f t="shared" ref="AT72:AT91" si="51">IF(ISERROR(AS72/AR72),"-",AS72/AR72)</f>
        <v>-</v>
      </c>
      <c r="AU72" s="442"/>
      <c r="AV72" s="442"/>
      <c r="AW72" s="442"/>
      <c r="AX72" s="442"/>
      <c r="AY72" s="442"/>
    </row>
    <row r="73" spans="1:51">
      <c r="A73" s="483">
        <f t="shared" si="17"/>
        <v>66</v>
      </c>
      <c r="B73" s="1213">
        <v>7</v>
      </c>
      <c r="C73" s="1063" t="s">
        <v>1342</v>
      </c>
      <c r="D73" s="862" t="s">
        <v>1343</v>
      </c>
      <c r="E73" s="1064" t="s">
        <v>1257</v>
      </c>
      <c r="F73" s="863" t="s">
        <v>1348</v>
      </c>
      <c r="G73" s="1282">
        <f t="shared" si="36"/>
        <v>0</v>
      </c>
      <c r="H73" s="1283">
        <f t="shared" si="37"/>
        <v>26510</v>
      </c>
      <c r="I73" s="1283">
        <f t="shared" si="38"/>
        <v>26510</v>
      </c>
      <c r="J73" s="1691">
        <f t="shared" si="39"/>
        <v>1</v>
      </c>
      <c r="K73" s="1282">
        <f t="shared" si="40"/>
        <v>0</v>
      </c>
      <c r="L73" s="1283">
        <f t="shared" si="41"/>
        <v>26510</v>
      </c>
      <c r="M73" s="1283">
        <f t="shared" si="42"/>
        <v>26510</v>
      </c>
      <c r="N73" s="1691">
        <f t="shared" si="43"/>
        <v>1</v>
      </c>
      <c r="O73" s="1047"/>
      <c r="P73" s="1048">
        <v>26510</v>
      </c>
      <c r="Q73" s="1048">
        <v>26510</v>
      </c>
      <c r="R73" s="1699">
        <f t="shared" si="44"/>
        <v>1</v>
      </c>
      <c r="S73" s="1047"/>
      <c r="T73" s="1048"/>
      <c r="U73" s="1048"/>
      <c r="V73" s="1699" t="str">
        <f t="shared" si="45"/>
        <v>-</v>
      </c>
      <c r="W73" s="1047"/>
      <c r="X73" s="1048"/>
      <c r="Y73" s="1048"/>
      <c r="Z73" s="1699" t="str">
        <f t="shared" si="46"/>
        <v>-</v>
      </c>
      <c r="AA73" s="1047"/>
      <c r="AB73" s="1048"/>
      <c r="AC73" s="1048"/>
      <c r="AD73" s="1699" t="str">
        <f t="shared" si="47"/>
        <v>-</v>
      </c>
      <c r="AE73" s="1282">
        <f t="shared" ref="AE73:AG73" si="52">+AI73+AM73+AQ73</f>
        <v>0</v>
      </c>
      <c r="AF73" s="1283">
        <f t="shared" si="52"/>
        <v>0</v>
      </c>
      <c r="AG73" s="1283">
        <f t="shared" si="52"/>
        <v>0</v>
      </c>
      <c r="AH73" s="1691" t="str">
        <f t="shared" si="48"/>
        <v>-</v>
      </c>
      <c r="AI73" s="1047"/>
      <c r="AJ73" s="1048"/>
      <c r="AK73" s="1048"/>
      <c r="AL73" s="1699" t="str">
        <f t="shared" si="49"/>
        <v>-</v>
      </c>
      <c r="AM73" s="1047"/>
      <c r="AN73" s="1048"/>
      <c r="AO73" s="1048"/>
      <c r="AP73" s="1699" t="str">
        <f t="shared" si="50"/>
        <v>-</v>
      </c>
      <c r="AQ73" s="1047"/>
      <c r="AR73" s="1048"/>
      <c r="AS73" s="1048"/>
      <c r="AT73" s="1699" t="str">
        <f t="shared" si="51"/>
        <v>-</v>
      </c>
      <c r="AU73" s="442"/>
      <c r="AV73" s="442"/>
      <c r="AW73" s="442"/>
      <c r="AX73" s="442"/>
      <c r="AY73" s="442"/>
    </row>
    <row r="74" spans="1:51">
      <c r="A74" s="483">
        <f t="shared" si="17"/>
        <v>67</v>
      </c>
      <c r="B74" s="1213">
        <v>7</v>
      </c>
      <c r="C74" s="1063" t="s">
        <v>1344</v>
      </c>
      <c r="D74" s="862" t="s">
        <v>1345</v>
      </c>
      <c r="E74" s="1064" t="s">
        <v>1346</v>
      </c>
      <c r="F74" s="863" t="s">
        <v>1347</v>
      </c>
      <c r="G74" s="1282">
        <f t="shared" si="36"/>
        <v>0</v>
      </c>
      <c r="H74" s="1283">
        <f t="shared" si="37"/>
        <v>38713</v>
      </c>
      <c r="I74" s="1283">
        <f t="shared" si="38"/>
        <v>38713</v>
      </c>
      <c r="J74" s="1691">
        <f t="shared" si="39"/>
        <v>1</v>
      </c>
      <c r="K74" s="1282">
        <f t="shared" si="40"/>
        <v>0</v>
      </c>
      <c r="L74" s="1283">
        <f t="shared" si="41"/>
        <v>38713</v>
      </c>
      <c r="M74" s="1283">
        <f t="shared" si="42"/>
        <v>38713</v>
      </c>
      <c r="N74" s="1691">
        <f t="shared" si="43"/>
        <v>1</v>
      </c>
      <c r="O74" s="1047"/>
      <c r="P74" s="1048">
        <v>38713</v>
      </c>
      <c r="Q74" s="1048">
        <v>38713</v>
      </c>
      <c r="R74" s="1699">
        <f t="shared" si="44"/>
        <v>1</v>
      </c>
      <c r="S74" s="1047"/>
      <c r="T74" s="1048"/>
      <c r="U74" s="1048"/>
      <c r="V74" s="1699" t="str">
        <f t="shared" si="45"/>
        <v>-</v>
      </c>
      <c r="W74" s="1047"/>
      <c r="X74" s="1048"/>
      <c r="Y74" s="1048"/>
      <c r="Z74" s="1699" t="str">
        <f t="shared" si="46"/>
        <v>-</v>
      </c>
      <c r="AA74" s="1047"/>
      <c r="AB74" s="1048"/>
      <c r="AC74" s="1048"/>
      <c r="AD74" s="1699" t="str">
        <f t="shared" si="47"/>
        <v>-</v>
      </c>
      <c r="AE74" s="1282">
        <f t="shared" si="33"/>
        <v>0</v>
      </c>
      <c r="AF74" s="1283">
        <f t="shared" si="33"/>
        <v>0</v>
      </c>
      <c r="AG74" s="1283">
        <f t="shared" si="33"/>
        <v>0</v>
      </c>
      <c r="AH74" s="1691" t="str">
        <f t="shared" si="48"/>
        <v>-</v>
      </c>
      <c r="AI74" s="1047"/>
      <c r="AJ74" s="1048">
        <v>0</v>
      </c>
      <c r="AK74" s="1048"/>
      <c r="AL74" s="1699" t="str">
        <f t="shared" si="49"/>
        <v>-</v>
      </c>
      <c r="AM74" s="1047"/>
      <c r="AN74" s="1048"/>
      <c r="AO74" s="1048"/>
      <c r="AP74" s="1699" t="str">
        <f t="shared" si="50"/>
        <v>-</v>
      </c>
      <c r="AQ74" s="1047"/>
      <c r="AR74" s="1048"/>
      <c r="AS74" s="1048"/>
      <c r="AT74" s="1699" t="str">
        <f t="shared" si="51"/>
        <v>-</v>
      </c>
      <c r="AU74" s="442"/>
      <c r="AV74" s="442"/>
      <c r="AW74" s="442"/>
      <c r="AX74" s="442"/>
      <c r="AY74" s="442"/>
    </row>
    <row r="75" spans="1:51">
      <c r="A75" s="483">
        <f t="shared" si="17"/>
        <v>68</v>
      </c>
      <c r="B75" s="1213">
        <v>7</v>
      </c>
      <c r="C75" s="1063" t="s">
        <v>1046</v>
      </c>
      <c r="D75" s="862" t="s">
        <v>1349</v>
      </c>
      <c r="E75" s="1064" t="s">
        <v>1257</v>
      </c>
      <c r="F75" s="863" t="s">
        <v>1350</v>
      </c>
      <c r="G75" s="1282">
        <f t="shared" si="36"/>
        <v>0</v>
      </c>
      <c r="H75" s="1283">
        <f t="shared" si="37"/>
        <v>121408</v>
      </c>
      <c r="I75" s="1283">
        <f t="shared" si="38"/>
        <v>121408</v>
      </c>
      <c r="J75" s="1691">
        <f t="shared" si="39"/>
        <v>1</v>
      </c>
      <c r="K75" s="1282">
        <f t="shared" si="40"/>
        <v>0</v>
      </c>
      <c r="L75" s="1283">
        <f t="shared" si="41"/>
        <v>116869</v>
      </c>
      <c r="M75" s="1283">
        <f t="shared" si="42"/>
        <v>116869</v>
      </c>
      <c r="N75" s="1691">
        <f t="shared" si="43"/>
        <v>1</v>
      </c>
      <c r="O75" s="1047"/>
      <c r="P75" s="1048">
        <v>116869</v>
      </c>
      <c r="Q75" s="1048">
        <v>116869</v>
      </c>
      <c r="R75" s="1699">
        <f t="shared" si="44"/>
        <v>1</v>
      </c>
      <c r="S75" s="1047"/>
      <c r="T75" s="1048"/>
      <c r="U75" s="1048"/>
      <c r="V75" s="1699" t="str">
        <f t="shared" si="45"/>
        <v>-</v>
      </c>
      <c r="W75" s="1047"/>
      <c r="X75" s="1048"/>
      <c r="Y75" s="1048"/>
      <c r="Z75" s="1699" t="str">
        <f t="shared" si="46"/>
        <v>-</v>
      </c>
      <c r="AA75" s="1047"/>
      <c r="AB75" s="1048"/>
      <c r="AC75" s="1048"/>
      <c r="AD75" s="1699" t="str">
        <f t="shared" si="47"/>
        <v>-</v>
      </c>
      <c r="AE75" s="1282">
        <f t="shared" ref="AE75:AG75" si="53">+AI75+AM75+AQ75</f>
        <v>0</v>
      </c>
      <c r="AF75" s="1283">
        <f t="shared" si="53"/>
        <v>4539</v>
      </c>
      <c r="AG75" s="1283">
        <f t="shared" si="53"/>
        <v>4539</v>
      </c>
      <c r="AH75" s="1691">
        <f t="shared" si="48"/>
        <v>1</v>
      </c>
      <c r="AI75" s="1047"/>
      <c r="AJ75" s="1048">
        <v>4539</v>
      </c>
      <c r="AK75" s="1048">
        <v>4539</v>
      </c>
      <c r="AL75" s="1699">
        <f t="shared" si="49"/>
        <v>1</v>
      </c>
      <c r="AM75" s="1047"/>
      <c r="AN75" s="1048"/>
      <c r="AO75" s="1048"/>
      <c r="AP75" s="1699" t="str">
        <f t="shared" si="50"/>
        <v>-</v>
      </c>
      <c r="AQ75" s="1047"/>
      <c r="AR75" s="1048"/>
      <c r="AS75" s="1048"/>
      <c r="AT75" s="1699" t="str">
        <f t="shared" si="51"/>
        <v>-</v>
      </c>
      <c r="AU75" s="442"/>
      <c r="AV75" s="442"/>
      <c r="AW75" s="442"/>
      <c r="AX75" s="442"/>
      <c r="AY75" s="442"/>
    </row>
    <row r="76" spans="1:51">
      <c r="A76" s="483">
        <f t="shared" si="17"/>
        <v>69</v>
      </c>
      <c r="B76" s="1213">
        <v>7</v>
      </c>
      <c r="C76" s="1063" t="s">
        <v>1286</v>
      </c>
      <c r="D76" s="862" t="s">
        <v>1284</v>
      </c>
      <c r="E76" s="1064" t="s">
        <v>1257</v>
      </c>
      <c r="F76" s="863" t="s">
        <v>1351</v>
      </c>
      <c r="G76" s="1282">
        <f t="shared" si="36"/>
        <v>0</v>
      </c>
      <c r="H76" s="1283">
        <f t="shared" si="37"/>
        <v>209947</v>
      </c>
      <c r="I76" s="1283">
        <f t="shared" si="38"/>
        <v>209947</v>
      </c>
      <c r="J76" s="1691">
        <f t="shared" si="39"/>
        <v>1</v>
      </c>
      <c r="K76" s="1282">
        <f t="shared" si="40"/>
        <v>0</v>
      </c>
      <c r="L76" s="1283">
        <f t="shared" si="41"/>
        <v>5896</v>
      </c>
      <c r="M76" s="1283">
        <f t="shared" si="42"/>
        <v>5896</v>
      </c>
      <c r="N76" s="1691">
        <f t="shared" si="43"/>
        <v>1</v>
      </c>
      <c r="O76" s="1047"/>
      <c r="P76" s="1048">
        <v>5896</v>
      </c>
      <c r="Q76" s="1048">
        <v>5896</v>
      </c>
      <c r="R76" s="1699">
        <f t="shared" si="44"/>
        <v>1</v>
      </c>
      <c r="S76" s="1047"/>
      <c r="T76" s="1048"/>
      <c r="U76" s="1048"/>
      <c r="V76" s="1699" t="str">
        <f t="shared" si="45"/>
        <v>-</v>
      </c>
      <c r="W76" s="1047"/>
      <c r="X76" s="1048"/>
      <c r="Y76" s="1048"/>
      <c r="Z76" s="1699" t="str">
        <f t="shared" si="46"/>
        <v>-</v>
      </c>
      <c r="AA76" s="1047"/>
      <c r="AB76" s="1048"/>
      <c r="AC76" s="1048"/>
      <c r="AD76" s="1699" t="str">
        <f t="shared" si="47"/>
        <v>-</v>
      </c>
      <c r="AE76" s="1282">
        <f t="shared" si="33"/>
        <v>0</v>
      </c>
      <c r="AF76" s="1283">
        <f t="shared" si="33"/>
        <v>204051</v>
      </c>
      <c r="AG76" s="1283">
        <f t="shared" si="33"/>
        <v>204051</v>
      </c>
      <c r="AH76" s="1691">
        <f t="shared" si="48"/>
        <v>1</v>
      </c>
      <c r="AI76" s="1047"/>
      <c r="AJ76" s="1048">
        <v>204051</v>
      </c>
      <c r="AK76" s="1048">
        <v>204051</v>
      </c>
      <c r="AL76" s="1699">
        <f t="shared" si="49"/>
        <v>1</v>
      </c>
      <c r="AM76" s="1047"/>
      <c r="AN76" s="1048"/>
      <c r="AO76" s="1048"/>
      <c r="AP76" s="1699" t="str">
        <f t="shared" si="50"/>
        <v>-</v>
      </c>
      <c r="AQ76" s="1047"/>
      <c r="AR76" s="1048"/>
      <c r="AS76" s="1048"/>
      <c r="AT76" s="1699" t="str">
        <f t="shared" si="51"/>
        <v>-</v>
      </c>
      <c r="AU76" s="442"/>
      <c r="AV76" s="442"/>
      <c r="AW76" s="442"/>
      <c r="AX76" s="442"/>
      <c r="AY76" s="442"/>
    </row>
    <row r="77" spans="1:51">
      <c r="A77" s="483">
        <f t="shared" si="17"/>
        <v>70</v>
      </c>
      <c r="B77" s="1213">
        <v>7</v>
      </c>
      <c r="C77" s="1063" t="s">
        <v>1352</v>
      </c>
      <c r="D77" s="862" t="s">
        <v>1354</v>
      </c>
      <c r="E77" s="1064" t="s">
        <v>1257</v>
      </c>
      <c r="F77" s="863" t="s">
        <v>1353</v>
      </c>
      <c r="G77" s="1282">
        <f t="shared" si="36"/>
        <v>0</v>
      </c>
      <c r="H77" s="1283">
        <f t="shared" si="37"/>
        <v>0</v>
      </c>
      <c r="I77" s="1283">
        <f t="shared" si="38"/>
        <v>0</v>
      </c>
      <c r="J77" s="1691" t="str">
        <f t="shared" si="39"/>
        <v>-</v>
      </c>
      <c r="K77" s="1282">
        <f t="shared" si="40"/>
        <v>0</v>
      </c>
      <c r="L77" s="1283">
        <f t="shared" si="41"/>
        <v>0</v>
      </c>
      <c r="M77" s="1283">
        <f t="shared" si="42"/>
        <v>0</v>
      </c>
      <c r="N77" s="1691" t="str">
        <f t="shared" si="43"/>
        <v>-</v>
      </c>
      <c r="O77" s="1047"/>
      <c r="P77" s="1048"/>
      <c r="Q77" s="1048"/>
      <c r="R77" s="1699" t="str">
        <f t="shared" si="44"/>
        <v>-</v>
      </c>
      <c r="S77" s="1047"/>
      <c r="T77" s="1048"/>
      <c r="U77" s="1048"/>
      <c r="V77" s="1699" t="str">
        <f t="shared" si="45"/>
        <v>-</v>
      </c>
      <c r="W77" s="1047"/>
      <c r="X77" s="1048"/>
      <c r="Y77" s="1048"/>
      <c r="Z77" s="1699" t="str">
        <f t="shared" si="46"/>
        <v>-</v>
      </c>
      <c r="AA77" s="1047"/>
      <c r="AB77" s="1048"/>
      <c r="AC77" s="1048"/>
      <c r="AD77" s="1699" t="str">
        <f t="shared" si="47"/>
        <v>-</v>
      </c>
      <c r="AE77" s="1282">
        <f t="shared" ref="AE77:AG77" si="54">+AI77+AM77+AQ77</f>
        <v>0</v>
      </c>
      <c r="AF77" s="1283">
        <f t="shared" si="54"/>
        <v>0</v>
      </c>
      <c r="AG77" s="1283">
        <f t="shared" si="54"/>
        <v>0</v>
      </c>
      <c r="AH77" s="1691" t="str">
        <f t="shared" si="48"/>
        <v>-</v>
      </c>
      <c r="AI77" s="1047"/>
      <c r="AJ77" s="1048"/>
      <c r="AK77" s="1048"/>
      <c r="AL77" s="1699" t="str">
        <f t="shared" si="49"/>
        <v>-</v>
      </c>
      <c r="AM77" s="1047"/>
      <c r="AN77" s="1048"/>
      <c r="AO77" s="1048"/>
      <c r="AP77" s="1699" t="str">
        <f t="shared" si="50"/>
        <v>-</v>
      </c>
      <c r="AQ77" s="1047"/>
      <c r="AR77" s="1048"/>
      <c r="AS77" s="1048"/>
      <c r="AT77" s="1699" t="str">
        <f t="shared" si="51"/>
        <v>-</v>
      </c>
      <c r="AU77" s="442"/>
      <c r="AV77" s="442"/>
      <c r="AW77" s="442"/>
      <c r="AX77" s="442"/>
      <c r="AY77" s="442"/>
    </row>
    <row r="78" spans="1:51">
      <c r="A78" s="483">
        <f t="shared" si="17"/>
        <v>71</v>
      </c>
      <c r="B78" s="1213">
        <v>7</v>
      </c>
      <c r="C78" s="1063" t="s">
        <v>1291</v>
      </c>
      <c r="D78" s="862" t="s">
        <v>1292</v>
      </c>
      <c r="E78" s="1064" t="s">
        <v>1257</v>
      </c>
      <c r="F78" s="863" t="s">
        <v>1355</v>
      </c>
      <c r="G78" s="1282">
        <f t="shared" si="36"/>
        <v>0</v>
      </c>
      <c r="H78" s="1283">
        <f t="shared" si="37"/>
        <v>530000</v>
      </c>
      <c r="I78" s="1283">
        <f t="shared" si="38"/>
        <v>530000</v>
      </c>
      <c r="J78" s="1691">
        <f t="shared" si="39"/>
        <v>1</v>
      </c>
      <c r="K78" s="1282">
        <f t="shared" si="40"/>
        <v>0</v>
      </c>
      <c r="L78" s="1283">
        <f t="shared" si="41"/>
        <v>52832</v>
      </c>
      <c r="M78" s="1283">
        <f t="shared" si="42"/>
        <v>52832</v>
      </c>
      <c r="N78" s="1691">
        <f t="shared" si="43"/>
        <v>1</v>
      </c>
      <c r="O78" s="1047"/>
      <c r="P78" s="1048">
        <v>52832</v>
      </c>
      <c r="Q78" s="1048">
        <v>52832</v>
      </c>
      <c r="R78" s="1699">
        <f t="shared" si="44"/>
        <v>1</v>
      </c>
      <c r="S78" s="1047"/>
      <c r="T78" s="1048"/>
      <c r="U78" s="1048"/>
      <c r="V78" s="1699" t="str">
        <f t="shared" si="45"/>
        <v>-</v>
      </c>
      <c r="W78" s="1047"/>
      <c r="X78" s="1048"/>
      <c r="Y78" s="1048"/>
      <c r="Z78" s="1699" t="str">
        <f t="shared" si="46"/>
        <v>-</v>
      </c>
      <c r="AA78" s="1047"/>
      <c r="AB78" s="1048"/>
      <c r="AC78" s="1048"/>
      <c r="AD78" s="1699" t="str">
        <f t="shared" si="47"/>
        <v>-</v>
      </c>
      <c r="AE78" s="1282">
        <f t="shared" si="33"/>
        <v>0</v>
      </c>
      <c r="AF78" s="1283">
        <f t="shared" si="33"/>
        <v>477168</v>
      </c>
      <c r="AG78" s="1283">
        <f t="shared" si="33"/>
        <v>477168</v>
      </c>
      <c r="AH78" s="1691">
        <f t="shared" si="48"/>
        <v>1</v>
      </c>
      <c r="AI78" s="1047"/>
      <c r="AJ78" s="1048">
        <v>477168</v>
      </c>
      <c r="AK78" s="1048">
        <v>477168</v>
      </c>
      <c r="AL78" s="1699">
        <f t="shared" si="49"/>
        <v>1</v>
      </c>
      <c r="AM78" s="1047"/>
      <c r="AN78" s="1048"/>
      <c r="AO78" s="1048"/>
      <c r="AP78" s="1699" t="str">
        <f t="shared" si="50"/>
        <v>-</v>
      </c>
      <c r="AQ78" s="1047"/>
      <c r="AR78" s="1048"/>
      <c r="AS78" s="1048"/>
      <c r="AT78" s="1699" t="str">
        <f t="shared" si="51"/>
        <v>-</v>
      </c>
      <c r="AU78" s="442"/>
      <c r="AV78" s="442"/>
      <c r="AW78" s="442"/>
      <c r="AX78" s="442"/>
      <c r="AY78" s="442"/>
    </row>
    <row r="79" spans="1:51">
      <c r="A79" s="483">
        <f t="shared" si="17"/>
        <v>72</v>
      </c>
      <c r="B79" s="1213">
        <v>7</v>
      </c>
      <c r="C79" s="1063" t="s">
        <v>1342</v>
      </c>
      <c r="D79" s="862" t="s">
        <v>1356</v>
      </c>
      <c r="E79" s="1064" t="s">
        <v>1257</v>
      </c>
      <c r="F79" s="863" t="s">
        <v>1357</v>
      </c>
      <c r="G79" s="1282">
        <f t="shared" si="36"/>
        <v>0</v>
      </c>
      <c r="H79" s="1283">
        <f t="shared" si="37"/>
        <v>0</v>
      </c>
      <c r="I79" s="1283">
        <f t="shared" si="38"/>
        <v>0</v>
      </c>
      <c r="J79" s="1691" t="str">
        <f t="shared" si="39"/>
        <v>-</v>
      </c>
      <c r="K79" s="1282">
        <f t="shared" si="40"/>
        <v>0</v>
      </c>
      <c r="L79" s="1283">
        <f t="shared" si="41"/>
        <v>0</v>
      </c>
      <c r="M79" s="1283">
        <f t="shared" si="42"/>
        <v>0</v>
      </c>
      <c r="N79" s="1691" t="str">
        <f t="shared" si="43"/>
        <v>-</v>
      </c>
      <c r="O79" s="1047"/>
      <c r="P79" s="1048"/>
      <c r="Q79" s="1048"/>
      <c r="R79" s="1699" t="str">
        <f t="shared" si="44"/>
        <v>-</v>
      </c>
      <c r="S79" s="1047"/>
      <c r="T79" s="1048"/>
      <c r="U79" s="1048"/>
      <c r="V79" s="1699" t="str">
        <f t="shared" si="45"/>
        <v>-</v>
      </c>
      <c r="W79" s="1047"/>
      <c r="X79" s="1048"/>
      <c r="Y79" s="1048"/>
      <c r="Z79" s="1699" t="str">
        <f t="shared" si="46"/>
        <v>-</v>
      </c>
      <c r="AA79" s="1047"/>
      <c r="AB79" s="1048"/>
      <c r="AC79" s="1048"/>
      <c r="AD79" s="1699" t="str">
        <f t="shared" si="47"/>
        <v>-</v>
      </c>
      <c r="AE79" s="1282">
        <f t="shared" ref="AE79:AG79" si="55">+AI79+AM79+AQ79</f>
        <v>0</v>
      </c>
      <c r="AF79" s="1283">
        <f t="shared" si="55"/>
        <v>0</v>
      </c>
      <c r="AG79" s="1283">
        <f t="shared" si="55"/>
        <v>0</v>
      </c>
      <c r="AH79" s="1691" t="str">
        <f t="shared" si="48"/>
        <v>-</v>
      </c>
      <c r="AI79" s="1047"/>
      <c r="AJ79" s="1048"/>
      <c r="AK79" s="1048"/>
      <c r="AL79" s="1699" t="str">
        <f t="shared" si="49"/>
        <v>-</v>
      </c>
      <c r="AM79" s="1047"/>
      <c r="AN79" s="1048"/>
      <c r="AO79" s="1048"/>
      <c r="AP79" s="1699" t="str">
        <f t="shared" si="50"/>
        <v>-</v>
      </c>
      <c r="AQ79" s="1047"/>
      <c r="AR79" s="1048"/>
      <c r="AS79" s="1048"/>
      <c r="AT79" s="1699" t="str">
        <f t="shared" si="51"/>
        <v>-</v>
      </c>
      <c r="AU79" s="442"/>
      <c r="AV79" s="442"/>
      <c r="AW79" s="442"/>
      <c r="AX79" s="442"/>
      <c r="AY79" s="442"/>
    </row>
    <row r="80" spans="1:51" ht="12.75" thickBot="1">
      <c r="A80" s="483">
        <f t="shared" si="17"/>
        <v>73</v>
      </c>
      <c r="B80" s="1213">
        <v>8</v>
      </c>
      <c r="C80" s="1063" t="s">
        <v>680</v>
      </c>
      <c r="D80" s="862" t="s">
        <v>679</v>
      </c>
      <c r="E80" s="1064" t="s">
        <v>1257</v>
      </c>
      <c r="F80" s="863" t="s">
        <v>644</v>
      </c>
      <c r="G80" s="1282">
        <f t="shared" si="36"/>
        <v>0</v>
      </c>
      <c r="H80" s="1283">
        <f t="shared" si="37"/>
        <v>0</v>
      </c>
      <c r="I80" s="1283">
        <f t="shared" si="38"/>
        <v>0</v>
      </c>
      <c r="J80" s="1691" t="str">
        <f t="shared" si="39"/>
        <v>-</v>
      </c>
      <c r="K80" s="1282">
        <f t="shared" si="40"/>
        <v>0</v>
      </c>
      <c r="L80" s="1283">
        <f t="shared" si="41"/>
        <v>0</v>
      </c>
      <c r="M80" s="1283">
        <f t="shared" si="42"/>
        <v>0</v>
      </c>
      <c r="N80" s="1691" t="str">
        <f t="shared" si="43"/>
        <v>-</v>
      </c>
      <c r="O80" s="1047"/>
      <c r="P80" s="1048"/>
      <c r="Q80" s="1048"/>
      <c r="R80" s="1699" t="str">
        <f t="shared" si="44"/>
        <v>-</v>
      </c>
      <c r="S80" s="1047"/>
      <c r="T80" s="1048"/>
      <c r="U80" s="1048"/>
      <c r="V80" s="1699" t="str">
        <f t="shared" si="45"/>
        <v>-</v>
      </c>
      <c r="W80" s="1047"/>
      <c r="X80" s="1048"/>
      <c r="Y80" s="1048"/>
      <c r="Z80" s="1699" t="str">
        <f t="shared" si="46"/>
        <v>-</v>
      </c>
      <c r="AA80" s="1047"/>
      <c r="AB80" s="1048"/>
      <c r="AC80" s="1048"/>
      <c r="AD80" s="1699" t="str">
        <f t="shared" si="47"/>
        <v>-</v>
      </c>
      <c r="AE80" s="1282">
        <f t="shared" si="16"/>
        <v>0</v>
      </c>
      <c r="AF80" s="1283">
        <f t="shared" si="16"/>
        <v>0</v>
      </c>
      <c r="AG80" s="1283">
        <f t="shared" si="16"/>
        <v>0</v>
      </c>
      <c r="AH80" s="1691" t="str">
        <f t="shared" si="48"/>
        <v>-</v>
      </c>
      <c r="AI80" s="1047"/>
      <c r="AJ80" s="1048"/>
      <c r="AK80" s="1048"/>
      <c r="AL80" s="1699" t="str">
        <f t="shared" si="49"/>
        <v>-</v>
      </c>
      <c r="AM80" s="1047"/>
      <c r="AN80" s="1048"/>
      <c r="AO80" s="1048"/>
      <c r="AP80" s="1699" t="str">
        <f t="shared" si="50"/>
        <v>-</v>
      </c>
      <c r="AQ80" s="1047"/>
      <c r="AR80" s="1048"/>
      <c r="AS80" s="1048"/>
      <c r="AT80" s="1699" t="str">
        <f t="shared" si="51"/>
        <v>-</v>
      </c>
      <c r="AU80" s="442"/>
      <c r="AV80" s="442"/>
      <c r="AW80" s="442"/>
      <c r="AX80" s="442"/>
      <c r="AY80" s="442"/>
    </row>
    <row r="81" spans="1:51" s="440" customFormat="1" ht="12.75" thickBot="1">
      <c r="A81" s="479" t="s">
        <v>596</v>
      </c>
      <c r="B81" s="1771"/>
      <c r="C81" s="1885" t="s">
        <v>411</v>
      </c>
      <c r="D81" s="1886"/>
      <c r="E81" s="1886"/>
      <c r="F81" s="1887"/>
      <c r="G81" s="469">
        <f t="shared" ref="G81" si="56">SUM(G8:G80)</f>
        <v>1448242</v>
      </c>
      <c r="H81" s="470">
        <f t="shared" ref="H81:I81" si="57">SUM(H8:H80)</f>
        <v>3371555</v>
      </c>
      <c r="I81" s="470">
        <f t="shared" si="57"/>
        <v>3189443</v>
      </c>
      <c r="J81" s="1635">
        <f t="shared" si="39"/>
        <v>0.94598575434777132</v>
      </c>
      <c r="K81" s="469">
        <f t="shared" ref="K81:AQ81" si="58">SUM(K8:K80)</f>
        <v>1410493</v>
      </c>
      <c r="L81" s="470">
        <f t="shared" ref="L81:M81" si="59">SUM(L8:L80)</f>
        <v>2150969</v>
      </c>
      <c r="M81" s="470">
        <f t="shared" si="59"/>
        <v>1969713</v>
      </c>
      <c r="N81" s="1635">
        <f t="shared" si="43"/>
        <v>0.91573286272373056</v>
      </c>
      <c r="O81" s="451">
        <f t="shared" si="58"/>
        <v>959566</v>
      </c>
      <c r="P81" s="321">
        <f t="shared" ref="P81:Q81" si="60">SUM(P8:P80)</f>
        <v>1453405</v>
      </c>
      <c r="Q81" s="321">
        <f t="shared" si="60"/>
        <v>1453405</v>
      </c>
      <c r="R81" s="1638">
        <f t="shared" si="44"/>
        <v>1</v>
      </c>
      <c r="S81" s="451">
        <f t="shared" si="58"/>
        <v>371480</v>
      </c>
      <c r="T81" s="321">
        <f t="shared" ref="T81:U81" si="61">SUM(T8:T80)</f>
        <v>541712</v>
      </c>
      <c r="U81" s="321">
        <f t="shared" si="61"/>
        <v>394432</v>
      </c>
      <c r="V81" s="1638">
        <f t="shared" si="45"/>
        <v>0.72812121570133204</v>
      </c>
      <c r="W81" s="451">
        <f t="shared" si="58"/>
        <v>73647</v>
      </c>
      <c r="X81" s="321">
        <f t="shared" ref="X81:Y81" si="62">SUM(X8:X80)</f>
        <v>101040</v>
      </c>
      <c r="Y81" s="321">
        <f t="shared" si="62"/>
        <v>74075</v>
      </c>
      <c r="Z81" s="1638">
        <f t="shared" si="46"/>
        <v>0.73312549485352341</v>
      </c>
      <c r="AA81" s="451">
        <f t="shared" si="58"/>
        <v>5800</v>
      </c>
      <c r="AB81" s="321">
        <f t="shared" ref="AB81:AC81" si="63">SUM(AB8:AB80)</f>
        <v>54812</v>
      </c>
      <c r="AC81" s="321">
        <f t="shared" si="63"/>
        <v>47801</v>
      </c>
      <c r="AD81" s="1638">
        <f t="shared" si="47"/>
        <v>0.87209005327300593</v>
      </c>
      <c r="AE81" s="469">
        <f t="shared" si="58"/>
        <v>37749</v>
      </c>
      <c r="AF81" s="470">
        <f t="shared" ref="AF81:AG81" si="64">SUM(AF8:AF80)</f>
        <v>1220586</v>
      </c>
      <c r="AG81" s="470">
        <f t="shared" si="64"/>
        <v>1219730</v>
      </c>
      <c r="AH81" s="1635">
        <f t="shared" si="48"/>
        <v>0.99929869751086775</v>
      </c>
      <c r="AI81" s="451">
        <f t="shared" si="58"/>
        <v>27399</v>
      </c>
      <c r="AJ81" s="321">
        <f t="shared" ref="AJ81:AK81" si="65">SUM(AJ8:AJ80)</f>
        <v>1215708</v>
      </c>
      <c r="AK81" s="321">
        <f t="shared" si="65"/>
        <v>1215708</v>
      </c>
      <c r="AL81" s="1638">
        <f t="shared" si="49"/>
        <v>1</v>
      </c>
      <c r="AM81" s="451">
        <f t="shared" si="58"/>
        <v>10350</v>
      </c>
      <c r="AN81" s="321">
        <f t="shared" ref="AN81:AO81" si="66">SUM(AN8:AN80)</f>
        <v>4878</v>
      </c>
      <c r="AO81" s="321">
        <f t="shared" si="66"/>
        <v>4022</v>
      </c>
      <c r="AP81" s="1638">
        <f t="shared" si="50"/>
        <v>0.82451824518245187</v>
      </c>
      <c r="AQ81" s="451">
        <f t="shared" si="58"/>
        <v>0</v>
      </c>
      <c r="AR81" s="321">
        <f t="shared" ref="AR81:AS81" si="67">SUM(AR8:AR80)</f>
        <v>0</v>
      </c>
      <c r="AS81" s="321">
        <f t="shared" si="67"/>
        <v>0</v>
      </c>
      <c r="AT81" s="1638" t="str">
        <f t="shared" si="51"/>
        <v>-</v>
      </c>
      <c r="AU81" s="442"/>
      <c r="AV81" s="442"/>
      <c r="AW81" s="442"/>
      <c r="AX81" s="442"/>
      <c r="AY81" s="442"/>
    </row>
    <row r="82" spans="1:51">
      <c r="A82" s="483">
        <f>A80+1</f>
        <v>74</v>
      </c>
      <c r="B82" s="1781">
        <v>9</v>
      </c>
      <c r="C82" s="1059" t="s">
        <v>1039</v>
      </c>
      <c r="D82" s="860" t="s">
        <v>1038</v>
      </c>
      <c r="E82" s="1060" t="s">
        <v>1267</v>
      </c>
      <c r="F82" s="1066" t="s">
        <v>1108</v>
      </c>
      <c r="G82" s="1276">
        <f t="shared" ref="G82:I87" si="68">+K82+AE82</f>
        <v>0</v>
      </c>
      <c r="H82" s="1277">
        <f t="shared" si="68"/>
        <v>0</v>
      </c>
      <c r="I82" s="1277">
        <f t="shared" si="68"/>
        <v>0</v>
      </c>
      <c r="J82" s="1689" t="str">
        <f t="shared" si="39"/>
        <v>-</v>
      </c>
      <c r="K82" s="1276">
        <f t="shared" ref="K82:M87" si="69">+O82+S82+W82+AA82</f>
        <v>0</v>
      </c>
      <c r="L82" s="1277">
        <f t="shared" si="69"/>
        <v>0</v>
      </c>
      <c r="M82" s="1277">
        <f t="shared" si="69"/>
        <v>0</v>
      </c>
      <c r="N82" s="1689" t="str">
        <f t="shared" si="43"/>
        <v>-</v>
      </c>
      <c r="O82" s="1047"/>
      <c r="P82" s="1048"/>
      <c r="Q82" s="1048"/>
      <c r="R82" s="1699" t="str">
        <f t="shared" si="44"/>
        <v>-</v>
      </c>
      <c r="S82" s="1047"/>
      <c r="T82" s="1048"/>
      <c r="U82" s="1048"/>
      <c r="V82" s="1699" t="str">
        <f t="shared" si="45"/>
        <v>-</v>
      </c>
      <c r="W82" s="1047"/>
      <c r="X82" s="1048"/>
      <c r="Y82" s="1048"/>
      <c r="Z82" s="1699" t="str">
        <f t="shared" si="46"/>
        <v>-</v>
      </c>
      <c r="AA82" s="1047"/>
      <c r="AB82" s="1048"/>
      <c r="AC82" s="1048"/>
      <c r="AD82" s="1699" t="str">
        <f t="shared" si="47"/>
        <v>-</v>
      </c>
      <c r="AE82" s="1276">
        <f t="shared" ref="AE82:AG87" si="70">+AI82+AM82+AQ82</f>
        <v>0</v>
      </c>
      <c r="AF82" s="1277">
        <f t="shared" si="70"/>
        <v>0</v>
      </c>
      <c r="AG82" s="1277">
        <f t="shared" si="70"/>
        <v>0</v>
      </c>
      <c r="AH82" s="1689" t="str">
        <f t="shared" si="48"/>
        <v>-</v>
      </c>
      <c r="AI82" s="1047"/>
      <c r="AJ82" s="1048"/>
      <c r="AK82" s="1048"/>
      <c r="AL82" s="1699" t="str">
        <f t="shared" si="49"/>
        <v>-</v>
      </c>
      <c r="AM82" s="1047"/>
      <c r="AN82" s="1048"/>
      <c r="AO82" s="1048"/>
      <c r="AP82" s="1699" t="str">
        <f t="shared" si="50"/>
        <v>-</v>
      </c>
      <c r="AQ82" s="1047"/>
      <c r="AR82" s="1048"/>
      <c r="AS82" s="1048"/>
      <c r="AT82" s="1699" t="str">
        <f t="shared" si="51"/>
        <v>-</v>
      </c>
      <c r="AU82" s="442"/>
      <c r="AV82" s="442"/>
      <c r="AW82" s="442"/>
      <c r="AX82" s="442"/>
      <c r="AY82" s="442"/>
    </row>
    <row r="83" spans="1:51">
      <c r="A83" s="483">
        <f>+A82+1</f>
        <v>75</v>
      </c>
      <c r="B83" s="249">
        <v>10</v>
      </c>
      <c r="C83" s="1062" t="s">
        <v>741</v>
      </c>
      <c r="D83" s="856" t="s">
        <v>742</v>
      </c>
      <c r="E83" s="1061" t="s">
        <v>1257</v>
      </c>
      <c r="F83" s="1067" t="s">
        <v>665</v>
      </c>
      <c r="G83" s="1280">
        <f t="shared" si="68"/>
        <v>1500</v>
      </c>
      <c r="H83" s="1281">
        <f t="shared" si="68"/>
        <v>6552</v>
      </c>
      <c r="I83" s="1281">
        <f t="shared" si="68"/>
        <v>838</v>
      </c>
      <c r="J83" s="1668">
        <f t="shared" si="39"/>
        <v>0.12789987789987789</v>
      </c>
      <c r="K83" s="1280">
        <f t="shared" si="69"/>
        <v>0</v>
      </c>
      <c r="L83" s="1281">
        <f t="shared" si="69"/>
        <v>0</v>
      </c>
      <c r="M83" s="1281">
        <f t="shared" si="69"/>
        <v>0</v>
      </c>
      <c r="N83" s="1668" t="str">
        <f t="shared" si="43"/>
        <v>-</v>
      </c>
      <c r="O83" s="1047"/>
      <c r="P83" s="1048"/>
      <c r="Q83" s="1048"/>
      <c r="R83" s="1699" t="str">
        <f t="shared" si="44"/>
        <v>-</v>
      </c>
      <c r="S83" s="1049"/>
      <c r="T83" s="1050"/>
      <c r="U83" s="1048"/>
      <c r="V83" s="1699" t="str">
        <f t="shared" si="45"/>
        <v>-</v>
      </c>
      <c r="W83" s="1049"/>
      <c r="X83" s="1050"/>
      <c r="Y83" s="1048"/>
      <c r="Z83" s="1699" t="str">
        <f t="shared" si="46"/>
        <v>-</v>
      </c>
      <c r="AA83" s="1049"/>
      <c r="AB83" s="1050"/>
      <c r="AC83" s="1048"/>
      <c r="AD83" s="1699" t="str">
        <f t="shared" si="47"/>
        <v>-</v>
      </c>
      <c r="AE83" s="1280">
        <f t="shared" si="70"/>
        <v>1500</v>
      </c>
      <c r="AF83" s="1281">
        <f t="shared" si="70"/>
        <v>6552</v>
      </c>
      <c r="AG83" s="1281">
        <f t="shared" si="70"/>
        <v>838</v>
      </c>
      <c r="AH83" s="1668">
        <f t="shared" si="48"/>
        <v>0.12789987789987789</v>
      </c>
      <c r="AI83" s="1049"/>
      <c r="AJ83" s="1050"/>
      <c r="AK83" s="1048"/>
      <c r="AL83" s="1699" t="str">
        <f t="shared" si="49"/>
        <v>-</v>
      </c>
      <c r="AM83" s="1049"/>
      <c r="AN83" s="1050"/>
      <c r="AO83" s="1048"/>
      <c r="AP83" s="1699" t="str">
        <f t="shared" si="50"/>
        <v>-</v>
      </c>
      <c r="AQ83" s="1049">
        <v>1500</v>
      </c>
      <c r="AR83" s="1050">
        <v>6552</v>
      </c>
      <c r="AS83" s="1048">
        <v>838</v>
      </c>
      <c r="AT83" s="1699">
        <f t="shared" si="51"/>
        <v>0.12789987789987789</v>
      </c>
      <c r="AU83" s="442"/>
      <c r="AV83" s="442"/>
      <c r="AW83" s="442"/>
      <c r="AX83" s="442"/>
      <c r="AY83" s="442"/>
    </row>
    <row r="84" spans="1:51">
      <c r="A84" s="483">
        <f t="shared" si="17"/>
        <v>76</v>
      </c>
      <c r="B84" s="1781">
        <v>10</v>
      </c>
      <c r="C84" s="1059" t="s">
        <v>740</v>
      </c>
      <c r="D84" s="860" t="s">
        <v>1031</v>
      </c>
      <c r="E84" s="1061" t="s">
        <v>1269</v>
      </c>
      <c r="F84" s="1068" t="s">
        <v>664</v>
      </c>
      <c r="G84" s="1280">
        <f t="shared" si="68"/>
        <v>350000</v>
      </c>
      <c r="H84" s="1281">
        <f t="shared" si="68"/>
        <v>0</v>
      </c>
      <c r="I84" s="1281">
        <f t="shared" si="68"/>
        <v>0</v>
      </c>
      <c r="J84" s="1668" t="str">
        <f t="shared" si="39"/>
        <v>-</v>
      </c>
      <c r="K84" s="1280">
        <f t="shared" si="69"/>
        <v>0</v>
      </c>
      <c r="L84" s="1281">
        <f t="shared" si="69"/>
        <v>0</v>
      </c>
      <c r="M84" s="1281">
        <f t="shared" si="69"/>
        <v>0</v>
      </c>
      <c r="N84" s="1668" t="str">
        <f t="shared" si="43"/>
        <v>-</v>
      </c>
      <c r="O84" s="1047"/>
      <c r="P84" s="1048"/>
      <c r="Q84" s="1048"/>
      <c r="R84" s="1699" t="str">
        <f t="shared" si="44"/>
        <v>-</v>
      </c>
      <c r="S84" s="1049"/>
      <c r="T84" s="1050"/>
      <c r="U84" s="1048"/>
      <c r="V84" s="1699" t="str">
        <f t="shared" si="45"/>
        <v>-</v>
      </c>
      <c r="W84" s="1049"/>
      <c r="X84" s="1050"/>
      <c r="Y84" s="1048"/>
      <c r="Z84" s="1699" t="str">
        <f t="shared" si="46"/>
        <v>-</v>
      </c>
      <c r="AA84" s="1049"/>
      <c r="AB84" s="1050"/>
      <c r="AC84" s="1048"/>
      <c r="AD84" s="1699" t="str">
        <f t="shared" si="47"/>
        <v>-</v>
      </c>
      <c r="AE84" s="1280">
        <f t="shared" si="70"/>
        <v>350000</v>
      </c>
      <c r="AF84" s="1281">
        <f t="shared" si="70"/>
        <v>0</v>
      </c>
      <c r="AG84" s="1281">
        <f t="shared" si="70"/>
        <v>0</v>
      </c>
      <c r="AH84" s="1668" t="str">
        <f t="shared" si="48"/>
        <v>-</v>
      </c>
      <c r="AI84" s="1049">
        <v>350000</v>
      </c>
      <c r="AJ84" s="1050">
        <v>0</v>
      </c>
      <c r="AK84" s="1048"/>
      <c r="AL84" s="1699" t="str">
        <f t="shared" si="49"/>
        <v>-</v>
      </c>
      <c r="AM84" s="1049"/>
      <c r="AN84" s="1050"/>
      <c r="AO84" s="1048"/>
      <c r="AP84" s="1699" t="str">
        <f t="shared" si="50"/>
        <v>-</v>
      </c>
      <c r="AQ84" s="1049"/>
      <c r="AR84" s="1050"/>
      <c r="AS84" s="1048"/>
      <c r="AT84" s="1699" t="str">
        <f t="shared" si="51"/>
        <v>-</v>
      </c>
      <c r="AU84" s="442"/>
      <c r="AV84" s="442"/>
      <c r="AW84" s="442"/>
      <c r="AX84" s="442"/>
      <c r="AY84" s="442"/>
    </row>
    <row r="85" spans="1:51">
      <c r="A85" s="483">
        <f t="shared" si="17"/>
        <v>77</v>
      </c>
      <c r="B85" s="249">
        <v>10</v>
      </c>
      <c r="C85" s="1062" t="s">
        <v>744</v>
      </c>
      <c r="D85" s="856" t="s">
        <v>743</v>
      </c>
      <c r="E85" s="1061" t="s">
        <v>1257</v>
      </c>
      <c r="F85" s="1068" t="s">
        <v>673</v>
      </c>
      <c r="G85" s="1280">
        <f t="shared" si="68"/>
        <v>0</v>
      </c>
      <c r="H85" s="1281">
        <f t="shared" si="68"/>
        <v>0</v>
      </c>
      <c r="I85" s="1281">
        <f t="shared" si="68"/>
        <v>0</v>
      </c>
      <c r="J85" s="1668" t="str">
        <f t="shared" si="39"/>
        <v>-</v>
      </c>
      <c r="K85" s="1280">
        <f t="shared" si="69"/>
        <v>0</v>
      </c>
      <c r="L85" s="1281">
        <f t="shared" si="69"/>
        <v>0</v>
      </c>
      <c r="M85" s="1281">
        <f t="shared" si="69"/>
        <v>0</v>
      </c>
      <c r="N85" s="1668" t="str">
        <f t="shared" si="43"/>
        <v>-</v>
      </c>
      <c r="O85" s="1047"/>
      <c r="P85" s="1048"/>
      <c r="Q85" s="1048"/>
      <c r="R85" s="1699" t="str">
        <f t="shared" si="44"/>
        <v>-</v>
      </c>
      <c r="S85" s="1049"/>
      <c r="T85" s="1050"/>
      <c r="U85" s="1048"/>
      <c r="V85" s="1699" t="str">
        <f t="shared" si="45"/>
        <v>-</v>
      </c>
      <c r="W85" s="1049"/>
      <c r="X85" s="1050"/>
      <c r="Y85" s="1048"/>
      <c r="Z85" s="1699" t="str">
        <f t="shared" si="46"/>
        <v>-</v>
      </c>
      <c r="AA85" s="1049"/>
      <c r="AB85" s="1050"/>
      <c r="AC85" s="1048"/>
      <c r="AD85" s="1699" t="str">
        <f t="shared" si="47"/>
        <v>-</v>
      </c>
      <c r="AE85" s="1280">
        <f t="shared" si="70"/>
        <v>0</v>
      </c>
      <c r="AF85" s="1281">
        <f t="shared" si="70"/>
        <v>0</v>
      </c>
      <c r="AG85" s="1281">
        <f t="shared" si="70"/>
        <v>0</v>
      </c>
      <c r="AH85" s="1668" t="str">
        <f t="shared" si="48"/>
        <v>-</v>
      </c>
      <c r="AI85" s="1049"/>
      <c r="AJ85" s="1050"/>
      <c r="AK85" s="1048"/>
      <c r="AL85" s="1699" t="str">
        <f t="shared" si="49"/>
        <v>-</v>
      </c>
      <c r="AM85" s="1049"/>
      <c r="AN85" s="1050"/>
      <c r="AO85" s="1048"/>
      <c r="AP85" s="1699" t="str">
        <f t="shared" si="50"/>
        <v>-</v>
      </c>
      <c r="AQ85" s="1049"/>
      <c r="AR85" s="1050"/>
      <c r="AS85" s="1048"/>
      <c r="AT85" s="1699" t="str">
        <f t="shared" si="51"/>
        <v>-</v>
      </c>
      <c r="AU85" s="442"/>
      <c r="AV85" s="442"/>
      <c r="AW85" s="442"/>
      <c r="AX85" s="442"/>
      <c r="AY85" s="442"/>
    </row>
    <row r="86" spans="1:51">
      <c r="A86" s="483">
        <f t="shared" si="17"/>
        <v>78</v>
      </c>
      <c r="B86" s="1781">
        <v>10</v>
      </c>
      <c r="C86" s="1059" t="s">
        <v>1044</v>
      </c>
      <c r="D86" s="860" t="s">
        <v>1045</v>
      </c>
      <c r="E86" s="1061" t="s">
        <v>1257</v>
      </c>
      <c r="F86" s="1068" t="s">
        <v>663</v>
      </c>
      <c r="G86" s="1280">
        <f t="shared" si="68"/>
        <v>0</v>
      </c>
      <c r="H86" s="1281">
        <f t="shared" si="68"/>
        <v>0</v>
      </c>
      <c r="I86" s="1281">
        <f t="shared" si="68"/>
        <v>0</v>
      </c>
      <c r="J86" s="1668" t="str">
        <f t="shared" si="39"/>
        <v>-</v>
      </c>
      <c r="K86" s="1280">
        <f t="shared" si="69"/>
        <v>0</v>
      </c>
      <c r="L86" s="1281">
        <f t="shared" si="69"/>
        <v>0</v>
      </c>
      <c r="M86" s="1281">
        <f t="shared" si="69"/>
        <v>0</v>
      </c>
      <c r="N86" s="1668" t="str">
        <f t="shared" si="43"/>
        <v>-</v>
      </c>
      <c r="O86" s="1047"/>
      <c r="P86" s="1048"/>
      <c r="Q86" s="1048"/>
      <c r="R86" s="1699" t="str">
        <f t="shared" si="44"/>
        <v>-</v>
      </c>
      <c r="S86" s="1049"/>
      <c r="T86" s="1050"/>
      <c r="U86" s="1048"/>
      <c r="V86" s="1699" t="str">
        <f t="shared" si="45"/>
        <v>-</v>
      </c>
      <c r="W86" s="1047"/>
      <c r="X86" s="1048"/>
      <c r="Y86" s="1048"/>
      <c r="Z86" s="1699" t="str">
        <f t="shared" si="46"/>
        <v>-</v>
      </c>
      <c r="AA86" s="1049"/>
      <c r="AB86" s="1050"/>
      <c r="AC86" s="1048"/>
      <c r="AD86" s="1699" t="str">
        <f t="shared" si="47"/>
        <v>-</v>
      </c>
      <c r="AE86" s="1280">
        <f t="shared" si="70"/>
        <v>0</v>
      </c>
      <c r="AF86" s="1281">
        <f t="shared" si="70"/>
        <v>0</v>
      </c>
      <c r="AG86" s="1281">
        <f t="shared" si="70"/>
        <v>0</v>
      </c>
      <c r="AH86" s="1668" t="str">
        <f t="shared" si="48"/>
        <v>-</v>
      </c>
      <c r="AI86" s="1049"/>
      <c r="AJ86" s="1050"/>
      <c r="AK86" s="1048"/>
      <c r="AL86" s="1699" t="str">
        <f t="shared" si="49"/>
        <v>-</v>
      </c>
      <c r="AM86" s="1047"/>
      <c r="AN86" s="1048"/>
      <c r="AO86" s="1048"/>
      <c r="AP86" s="1699" t="str">
        <f t="shared" si="50"/>
        <v>-</v>
      </c>
      <c r="AQ86" s="1049"/>
      <c r="AR86" s="1050"/>
      <c r="AS86" s="1048"/>
      <c r="AT86" s="1699" t="str">
        <f t="shared" si="51"/>
        <v>-</v>
      </c>
      <c r="AU86" s="442"/>
      <c r="AV86" s="442"/>
      <c r="AW86" s="442"/>
      <c r="AX86" s="442"/>
      <c r="AY86" s="442"/>
    </row>
    <row r="87" spans="1:51" ht="12.75" thickBot="1">
      <c r="A87" s="483">
        <f t="shared" si="17"/>
        <v>79</v>
      </c>
      <c r="B87" s="249">
        <v>9</v>
      </c>
      <c r="C87" s="1062">
        <v>107060</v>
      </c>
      <c r="D87" s="856" t="s">
        <v>2755</v>
      </c>
      <c r="E87" s="1061" t="s">
        <v>1257</v>
      </c>
      <c r="F87" s="1068" t="s">
        <v>695</v>
      </c>
      <c r="G87" s="1280">
        <f t="shared" si="68"/>
        <v>0</v>
      </c>
      <c r="H87" s="1281">
        <f t="shared" si="68"/>
        <v>100</v>
      </c>
      <c r="I87" s="1281">
        <f t="shared" si="68"/>
        <v>100</v>
      </c>
      <c r="J87" s="1668">
        <f t="shared" si="39"/>
        <v>1</v>
      </c>
      <c r="K87" s="1280">
        <f t="shared" si="69"/>
        <v>0</v>
      </c>
      <c r="L87" s="1281">
        <f t="shared" si="69"/>
        <v>100</v>
      </c>
      <c r="M87" s="1281">
        <f t="shared" si="69"/>
        <v>100</v>
      </c>
      <c r="N87" s="1668">
        <f t="shared" si="43"/>
        <v>1</v>
      </c>
      <c r="O87" s="1047"/>
      <c r="P87" s="1048">
        <v>100</v>
      </c>
      <c r="Q87" s="1048">
        <v>100</v>
      </c>
      <c r="R87" s="1699">
        <f t="shared" si="44"/>
        <v>1</v>
      </c>
      <c r="S87" s="1049"/>
      <c r="T87" s="1050"/>
      <c r="U87" s="1048"/>
      <c r="V87" s="1699" t="str">
        <f t="shared" si="45"/>
        <v>-</v>
      </c>
      <c r="W87" s="1049"/>
      <c r="X87" s="1050"/>
      <c r="Y87" s="1048"/>
      <c r="Z87" s="1699" t="str">
        <f t="shared" si="46"/>
        <v>-</v>
      </c>
      <c r="AA87" s="1049"/>
      <c r="AB87" s="1050"/>
      <c r="AC87" s="1048"/>
      <c r="AD87" s="1699" t="str">
        <f t="shared" si="47"/>
        <v>-</v>
      </c>
      <c r="AE87" s="1280">
        <f t="shared" si="70"/>
        <v>0</v>
      </c>
      <c r="AF87" s="1281">
        <f t="shared" si="70"/>
        <v>0</v>
      </c>
      <c r="AG87" s="1281">
        <f t="shared" si="70"/>
        <v>0</v>
      </c>
      <c r="AH87" s="1668" t="str">
        <f t="shared" si="48"/>
        <v>-</v>
      </c>
      <c r="AI87" s="1049"/>
      <c r="AJ87" s="1050"/>
      <c r="AK87" s="1048"/>
      <c r="AL87" s="1699" t="str">
        <f t="shared" si="49"/>
        <v>-</v>
      </c>
      <c r="AM87" s="1049"/>
      <c r="AN87" s="1050"/>
      <c r="AO87" s="1048"/>
      <c r="AP87" s="1699" t="str">
        <f t="shared" si="50"/>
        <v>-</v>
      </c>
      <c r="AQ87" s="1049"/>
      <c r="AR87" s="1050"/>
      <c r="AS87" s="1048"/>
      <c r="AT87" s="1699" t="str">
        <f t="shared" si="51"/>
        <v>-</v>
      </c>
      <c r="AU87" s="442"/>
      <c r="AV87" s="442"/>
      <c r="AW87" s="442"/>
      <c r="AX87" s="442"/>
      <c r="AY87" s="442"/>
    </row>
    <row r="88" spans="1:51" s="440" customFormat="1" ht="12.75" thickBot="1">
      <c r="A88" s="479" t="s">
        <v>597</v>
      </c>
      <c r="B88" s="1771"/>
      <c r="C88" s="1885" t="s">
        <v>412</v>
      </c>
      <c r="D88" s="1886"/>
      <c r="E88" s="1886"/>
      <c r="F88" s="1887"/>
      <c r="G88" s="469">
        <f>SUM(G82:G87)</f>
        <v>351500</v>
      </c>
      <c r="H88" s="470">
        <f>SUM(H82:H87)</f>
        <v>6652</v>
      </c>
      <c r="I88" s="470">
        <f>SUM(I82:I87)</f>
        <v>938</v>
      </c>
      <c r="J88" s="1635">
        <f t="shared" si="39"/>
        <v>0.14101022248947684</v>
      </c>
      <c r="K88" s="469">
        <f t="shared" ref="K88" si="71">SUM(K82:K87)</f>
        <v>0</v>
      </c>
      <c r="L88" s="470">
        <f t="shared" ref="L88:M88" si="72">SUM(L82:L87)</f>
        <v>100</v>
      </c>
      <c r="M88" s="470">
        <f t="shared" si="72"/>
        <v>100</v>
      </c>
      <c r="N88" s="1635">
        <f t="shared" si="43"/>
        <v>1</v>
      </c>
      <c r="O88" s="451">
        <f t="shared" ref="O88:AQ88" si="73">SUM(O82:O87)</f>
        <v>0</v>
      </c>
      <c r="P88" s="321">
        <f t="shared" ref="P88" si="74">SUM(P82:P87)</f>
        <v>100</v>
      </c>
      <c r="Q88" s="321">
        <f t="shared" ref="Q88" si="75">SUM(Q82:Q87)</f>
        <v>100</v>
      </c>
      <c r="R88" s="1638">
        <f t="shared" si="44"/>
        <v>1</v>
      </c>
      <c r="S88" s="451">
        <f t="shared" si="73"/>
        <v>0</v>
      </c>
      <c r="T88" s="321">
        <f t="shared" ref="T88" si="76">SUM(T82:T87)</f>
        <v>0</v>
      </c>
      <c r="U88" s="321">
        <f t="shared" ref="U88" si="77">SUM(U82:U87)</f>
        <v>0</v>
      </c>
      <c r="V88" s="1638" t="str">
        <f t="shared" si="45"/>
        <v>-</v>
      </c>
      <c r="W88" s="451">
        <f t="shared" si="73"/>
        <v>0</v>
      </c>
      <c r="X88" s="321">
        <f t="shared" ref="X88" si="78">SUM(X82:X87)</f>
        <v>0</v>
      </c>
      <c r="Y88" s="321">
        <f t="shared" ref="Y88" si="79">SUM(Y82:Y87)</f>
        <v>0</v>
      </c>
      <c r="Z88" s="1638" t="str">
        <f t="shared" si="46"/>
        <v>-</v>
      </c>
      <c r="AA88" s="451">
        <f t="shared" si="73"/>
        <v>0</v>
      </c>
      <c r="AB88" s="321">
        <f t="shared" ref="AB88" si="80">SUM(AB82:AB87)</f>
        <v>0</v>
      </c>
      <c r="AC88" s="321">
        <f t="shared" ref="AC88" si="81">SUM(AC82:AC87)</f>
        <v>0</v>
      </c>
      <c r="AD88" s="1638" t="str">
        <f t="shared" si="47"/>
        <v>-</v>
      </c>
      <c r="AE88" s="469">
        <f t="shared" si="73"/>
        <v>351500</v>
      </c>
      <c r="AF88" s="470">
        <f t="shared" ref="AF88:AG88" si="82">SUM(AF82:AF87)</f>
        <v>6552</v>
      </c>
      <c r="AG88" s="470">
        <f t="shared" si="82"/>
        <v>838</v>
      </c>
      <c r="AH88" s="1635">
        <f t="shared" si="48"/>
        <v>0.12789987789987789</v>
      </c>
      <c r="AI88" s="451">
        <f t="shared" si="73"/>
        <v>350000</v>
      </c>
      <c r="AJ88" s="321">
        <f t="shared" ref="AJ88" si="83">SUM(AJ82:AJ87)</f>
        <v>0</v>
      </c>
      <c r="AK88" s="321">
        <f t="shared" ref="AK88" si="84">SUM(AK82:AK87)</f>
        <v>0</v>
      </c>
      <c r="AL88" s="1638" t="str">
        <f t="shared" si="49"/>
        <v>-</v>
      </c>
      <c r="AM88" s="451">
        <f t="shared" si="73"/>
        <v>0</v>
      </c>
      <c r="AN88" s="321">
        <f t="shared" ref="AN88" si="85">SUM(AN82:AN87)</f>
        <v>0</v>
      </c>
      <c r="AO88" s="321">
        <f t="shared" ref="AO88" si="86">SUM(AO82:AO87)</f>
        <v>0</v>
      </c>
      <c r="AP88" s="1638" t="str">
        <f t="shared" si="50"/>
        <v>-</v>
      </c>
      <c r="AQ88" s="451">
        <f t="shared" si="73"/>
        <v>1500</v>
      </c>
      <c r="AR88" s="321">
        <f t="shared" ref="AR88" si="87">SUM(AR82:AR87)</f>
        <v>6552</v>
      </c>
      <c r="AS88" s="321">
        <f t="shared" ref="AS88" si="88">SUM(AS82:AS87)</f>
        <v>838</v>
      </c>
      <c r="AT88" s="1638">
        <f t="shared" si="51"/>
        <v>0.12789987789987789</v>
      </c>
      <c r="AU88" s="442"/>
      <c r="AV88" s="442"/>
      <c r="AW88" s="442"/>
      <c r="AX88" s="442"/>
      <c r="AY88" s="442"/>
    </row>
    <row r="89" spans="1:51" s="444" customFormat="1" ht="12.75" customHeight="1" thickBot="1">
      <c r="A89" s="483">
        <f>+A87+1</f>
        <v>80</v>
      </c>
      <c r="B89" s="249">
        <v>11</v>
      </c>
      <c r="C89" s="1062" t="s">
        <v>19</v>
      </c>
      <c r="D89" s="1069" t="s">
        <v>19</v>
      </c>
      <c r="E89" s="1060" t="s">
        <v>19</v>
      </c>
      <c r="F89" s="1069" t="s">
        <v>19</v>
      </c>
      <c r="G89" s="1276">
        <f>+K89+AE89</f>
        <v>0</v>
      </c>
      <c r="H89" s="1277">
        <f>+L89+AF89</f>
        <v>0</v>
      </c>
      <c r="I89" s="1277">
        <f>+M89+AG89</f>
        <v>0</v>
      </c>
      <c r="J89" s="1689" t="str">
        <f t="shared" si="39"/>
        <v>-</v>
      </c>
      <c r="K89" s="1276">
        <f>+O89+S89+W89+AA89</f>
        <v>0</v>
      </c>
      <c r="L89" s="1277">
        <f>+P89+T89+X89+AB89</f>
        <v>0</v>
      </c>
      <c r="M89" s="1277">
        <f>+Q89+U89+Y89+AC89</f>
        <v>0</v>
      </c>
      <c r="N89" s="1689" t="str">
        <f t="shared" si="43"/>
        <v>-</v>
      </c>
      <c r="O89" s="1047"/>
      <c r="P89" s="1048"/>
      <c r="Q89" s="1048"/>
      <c r="R89" s="1699" t="str">
        <f t="shared" si="44"/>
        <v>-</v>
      </c>
      <c r="S89" s="1049"/>
      <c r="T89" s="1050"/>
      <c r="U89" s="1048"/>
      <c r="V89" s="1699" t="str">
        <f t="shared" si="45"/>
        <v>-</v>
      </c>
      <c r="W89" s="1049"/>
      <c r="X89" s="1050"/>
      <c r="Y89" s="1048"/>
      <c r="Z89" s="1699" t="str">
        <f t="shared" si="46"/>
        <v>-</v>
      </c>
      <c r="AA89" s="1049"/>
      <c r="AB89" s="1050"/>
      <c r="AC89" s="1048"/>
      <c r="AD89" s="1699" t="str">
        <f t="shared" si="47"/>
        <v>-</v>
      </c>
      <c r="AE89" s="1276">
        <f>+AI89+AM89+AQ89</f>
        <v>0</v>
      </c>
      <c r="AF89" s="1277">
        <f>+AJ89+AN89+AR89</f>
        <v>0</v>
      </c>
      <c r="AG89" s="1277">
        <f>+AK89+AO89+AS89</f>
        <v>0</v>
      </c>
      <c r="AH89" s="1689" t="str">
        <f t="shared" si="48"/>
        <v>-</v>
      </c>
      <c r="AI89" s="1049"/>
      <c r="AJ89" s="1050"/>
      <c r="AK89" s="1048"/>
      <c r="AL89" s="1699" t="str">
        <f t="shared" si="49"/>
        <v>-</v>
      </c>
      <c r="AM89" s="1049"/>
      <c r="AN89" s="1050"/>
      <c r="AO89" s="1048"/>
      <c r="AP89" s="1699" t="str">
        <f t="shared" si="50"/>
        <v>-</v>
      </c>
      <c r="AQ89" s="1049"/>
      <c r="AR89" s="1050"/>
      <c r="AS89" s="1048"/>
      <c r="AT89" s="1699" t="str">
        <f t="shared" si="51"/>
        <v>-</v>
      </c>
      <c r="AU89" s="442"/>
      <c r="AV89" s="442"/>
      <c r="AW89" s="442"/>
      <c r="AX89" s="442"/>
      <c r="AY89" s="442"/>
    </row>
    <row r="90" spans="1:51" s="440" customFormat="1" ht="12.75" thickBot="1">
      <c r="A90" s="479" t="s">
        <v>598</v>
      </c>
      <c r="B90" s="1771"/>
      <c r="C90" s="1885" t="s">
        <v>413</v>
      </c>
      <c r="D90" s="1886"/>
      <c r="E90" s="1886"/>
      <c r="F90" s="1887"/>
      <c r="G90" s="469">
        <f t="shared" ref="G90" si="89">SUM(G89:G89)</f>
        <v>0</v>
      </c>
      <c r="H90" s="470">
        <f t="shared" ref="H90:I90" si="90">SUM(H89:H89)</f>
        <v>0</v>
      </c>
      <c r="I90" s="470">
        <f t="shared" si="90"/>
        <v>0</v>
      </c>
      <c r="J90" s="1635" t="str">
        <f t="shared" si="39"/>
        <v>-</v>
      </c>
      <c r="K90" s="469">
        <f t="shared" ref="K90:AQ90" si="91">SUM(K89:K89)</f>
        <v>0</v>
      </c>
      <c r="L90" s="470">
        <f t="shared" ref="L90:M90" si="92">SUM(L89:L89)</f>
        <v>0</v>
      </c>
      <c r="M90" s="470">
        <f t="shared" si="92"/>
        <v>0</v>
      </c>
      <c r="N90" s="1635" t="str">
        <f t="shared" si="43"/>
        <v>-</v>
      </c>
      <c r="O90" s="451">
        <f t="shared" si="91"/>
        <v>0</v>
      </c>
      <c r="P90" s="321">
        <f t="shared" ref="P90" si="93">SUM(P89:P89)</f>
        <v>0</v>
      </c>
      <c r="Q90" s="321">
        <f t="shared" ref="Q90" si="94">SUM(Q89:Q89)</f>
        <v>0</v>
      </c>
      <c r="R90" s="1638" t="str">
        <f t="shared" si="44"/>
        <v>-</v>
      </c>
      <c r="S90" s="451">
        <f t="shared" si="91"/>
        <v>0</v>
      </c>
      <c r="T90" s="321">
        <f t="shared" ref="T90" si="95">SUM(T89:T89)</f>
        <v>0</v>
      </c>
      <c r="U90" s="321">
        <f t="shared" ref="U90" si="96">SUM(U89:U89)</f>
        <v>0</v>
      </c>
      <c r="V90" s="1638" t="str">
        <f t="shared" si="45"/>
        <v>-</v>
      </c>
      <c r="W90" s="451">
        <f t="shared" si="91"/>
        <v>0</v>
      </c>
      <c r="X90" s="321">
        <f t="shared" ref="X90" si="97">SUM(X89:X89)</f>
        <v>0</v>
      </c>
      <c r="Y90" s="321">
        <f t="shared" ref="Y90" si="98">SUM(Y89:Y89)</f>
        <v>0</v>
      </c>
      <c r="Z90" s="1638" t="str">
        <f t="shared" si="46"/>
        <v>-</v>
      </c>
      <c r="AA90" s="451">
        <f t="shared" si="91"/>
        <v>0</v>
      </c>
      <c r="AB90" s="321">
        <f t="shared" ref="AB90" si="99">SUM(AB89:AB89)</f>
        <v>0</v>
      </c>
      <c r="AC90" s="321">
        <f t="shared" ref="AC90" si="100">SUM(AC89:AC89)</f>
        <v>0</v>
      </c>
      <c r="AD90" s="1638" t="str">
        <f t="shared" si="47"/>
        <v>-</v>
      </c>
      <c r="AE90" s="469">
        <f t="shared" si="91"/>
        <v>0</v>
      </c>
      <c r="AF90" s="470">
        <f t="shared" ref="AF90:AG90" si="101">SUM(AF89:AF89)</f>
        <v>0</v>
      </c>
      <c r="AG90" s="470">
        <f t="shared" si="101"/>
        <v>0</v>
      </c>
      <c r="AH90" s="1635" t="str">
        <f t="shared" si="48"/>
        <v>-</v>
      </c>
      <c r="AI90" s="451">
        <f t="shared" si="91"/>
        <v>0</v>
      </c>
      <c r="AJ90" s="321">
        <f t="shared" ref="AJ90" si="102">SUM(AJ89:AJ89)</f>
        <v>0</v>
      </c>
      <c r="AK90" s="321">
        <f t="shared" ref="AK90" si="103">SUM(AK89:AK89)</f>
        <v>0</v>
      </c>
      <c r="AL90" s="1638" t="str">
        <f t="shared" si="49"/>
        <v>-</v>
      </c>
      <c r="AM90" s="451">
        <f t="shared" si="91"/>
        <v>0</v>
      </c>
      <c r="AN90" s="321">
        <f t="shared" ref="AN90" si="104">SUM(AN89:AN89)</f>
        <v>0</v>
      </c>
      <c r="AO90" s="321">
        <f t="shared" ref="AO90" si="105">SUM(AO89:AO89)</f>
        <v>0</v>
      </c>
      <c r="AP90" s="1638" t="str">
        <f t="shared" si="50"/>
        <v>-</v>
      </c>
      <c r="AQ90" s="451">
        <f t="shared" si="91"/>
        <v>0</v>
      </c>
      <c r="AR90" s="321">
        <f t="shared" ref="AR90" si="106">SUM(AR89:AR89)</f>
        <v>0</v>
      </c>
      <c r="AS90" s="321">
        <f t="shared" ref="AS90" si="107">SUM(AS89:AS89)</f>
        <v>0</v>
      </c>
      <c r="AT90" s="1638" t="str">
        <f t="shared" si="51"/>
        <v>-</v>
      </c>
      <c r="AU90" s="442"/>
      <c r="AV90" s="442"/>
      <c r="AW90" s="442"/>
      <c r="AX90" s="442"/>
      <c r="AY90" s="442"/>
    </row>
    <row r="91" spans="1:51" s="440" customFormat="1" ht="12.75" thickBot="1">
      <c r="A91" s="480" t="s">
        <v>23</v>
      </c>
      <c r="B91" s="1782"/>
      <c r="C91" s="1903" t="s">
        <v>414</v>
      </c>
      <c r="D91" s="1904"/>
      <c r="E91" s="1904"/>
      <c r="F91" s="1905"/>
      <c r="G91" s="453">
        <f t="shared" ref="G91" si="108">+G81+G88+G90</f>
        <v>1799742</v>
      </c>
      <c r="H91" s="454">
        <f t="shared" ref="H91:I91" si="109">+H81+H88+H90</f>
        <v>3378207</v>
      </c>
      <c r="I91" s="454">
        <f t="shared" si="109"/>
        <v>3190381</v>
      </c>
      <c r="J91" s="1692">
        <f t="shared" si="39"/>
        <v>0.94440068355787554</v>
      </c>
      <c r="K91" s="453">
        <f t="shared" ref="K91:AQ91" si="110">+K81+K88+K90</f>
        <v>1410493</v>
      </c>
      <c r="L91" s="454">
        <f t="shared" ref="L91:M91" si="111">+L81+L88+L90</f>
        <v>2151069</v>
      </c>
      <c r="M91" s="454">
        <f t="shared" si="111"/>
        <v>1969813</v>
      </c>
      <c r="N91" s="1692">
        <f t="shared" si="43"/>
        <v>0.9157367801776698</v>
      </c>
      <c r="O91" s="453">
        <f t="shared" si="110"/>
        <v>959566</v>
      </c>
      <c r="P91" s="454">
        <f t="shared" ref="P91:Q91" si="112">+P81+P88+P90</f>
        <v>1453505</v>
      </c>
      <c r="Q91" s="454">
        <f t="shared" si="112"/>
        <v>1453505</v>
      </c>
      <c r="R91" s="1692">
        <f t="shared" si="44"/>
        <v>1</v>
      </c>
      <c r="S91" s="453">
        <f t="shared" si="110"/>
        <v>371480</v>
      </c>
      <c r="T91" s="454">
        <f t="shared" ref="T91:U91" si="113">+T81+T88+T90</f>
        <v>541712</v>
      </c>
      <c r="U91" s="454">
        <f t="shared" si="113"/>
        <v>394432</v>
      </c>
      <c r="V91" s="1692">
        <f t="shared" si="45"/>
        <v>0.72812121570133204</v>
      </c>
      <c r="W91" s="453">
        <f t="shared" si="110"/>
        <v>73647</v>
      </c>
      <c r="X91" s="454">
        <f t="shared" ref="X91:Y91" si="114">+X81+X88+X90</f>
        <v>101040</v>
      </c>
      <c r="Y91" s="454">
        <f t="shared" si="114"/>
        <v>74075</v>
      </c>
      <c r="Z91" s="1692">
        <f t="shared" si="46"/>
        <v>0.73312549485352341</v>
      </c>
      <c r="AA91" s="453">
        <f t="shared" si="110"/>
        <v>5800</v>
      </c>
      <c r="AB91" s="454">
        <f t="shared" ref="AB91:AC91" si="115">+AB81+AB88+AB90</f>
        <v>54812</v>
      </c>
      <c r="AC91" s="454">
        <f t="shared" si="115"/>
        <v>47801</v>
      </c>
      <c r="AD91" s="1692">
        <f t="shared" si="47"/>
        <v>0.87209005327300593</v>
      </c>
      <c r="AE91" s="453">
        <f t="shared" si="110"/>
        <v>389249</v>
      </c>
      <c r="AF91" s="454">
        <f t="shared" ref="AF91:AG91" si="116">+AF81+AF88+AF90</f>
        <v>1227138</v>
      </c>
      <c r="AG91" s="454">
        <f t="shared" si="116"/>
        <v>1220568</v>
      </c>
      <c r="AH91" s="1692">
        <f t="shared" si="48"/>
        <v>0.9946460789251087</v>
      </c>
      <c r="AI91" s="453">
        <f t="shared" si="110"/>
        <v>377399</v>
      </c>
      <c r="AJ91" s="454">
        <f t="shared" ref="AJ91:AK91" si="117">+AJ81+AJ88+AJ90</f>
        <v>1215708</v>
      </c>
      <c r="AK91" s="454">
        <f t="shared" si="117"/>
        <v>1215708</v>
      </c>
      <c r="AL91" s="1692">
        <f t="shared" si="49"/>
        <v>1</v>
      </c>
      <c r="AM91" s="453">
        <f t="shared" si="110"/>
        <v>10350</v>
      </c>
      <c r="AN91" s="454">
        <f t="shared" ref="AN91:AO91" si="118">+AN81+AN88+AN90</f>
        <v>4878</v>
      </c>
      <c r="AO91" s="454">
        <f t="shared" si="118"/>
        <v>4022</v>
      </c>
      <c r="AP91" s="1692">
        <f t="shared" si="50"/>
        <v>0.82451824518245187</v>
      </c>
      <c r="AQ91" s="453">
        <f t="shared" si="110"/>
        <v>1500</v>
      </c>
      <c r="AR91" s="454">
        <f t="shared" ref="AR91:AS91" si="119">+AR81+AR88+AR90</f>
        <v>6552</v>
      </c>
      <c r="AS91" s="454">
        <f t="shared" si="119"/>
        <v>838</v>
      </c>
      <c r="AT91" s="1692">
        <f t="shared" si="51"/>
        <v>0.12789987789987789</v>
      </c>
      <c r="AU91" s="442"/>
      <c r="AV91" s="442"/>
      <c r="AW91" s="442"/>
      <c r="AX91" s="442"/>
      <c r="AY91" s="442"/>
    </row>
    <row r="92" spans="1:51" ht="12.75" thickBot="1">
      <c r="A92" s="736"/>
      <c r="B92" s="1783"/>
      <c r="C92" s="832"/>
      <c r="D92" s="477"/>
      <c r="E92" s="827"/>
      <c r="F92" s="455"/>
      <c r="G92" s="456"/>
      <c r="H92" s="457"/>
      <c r="I92" s="457"/>
      <c r="J92" s="1693"/>
      <c r="K92" s="456"/>
      <c r="L92" s="457"/>
      <c r="M92" s="457"/>
      <c r="N92" s="1693"/>
      <c r="O92" s="456"/>
      <c r="P92" s="457"/>
      <c r="Q92" s="457"/>
      <c r="R92" s="1693"/>
      <c r="S92" s="456"/>
      <c r="T92" s="457"/>
      <c r="U92" s="457"/>
      <c r="V92" s="1693"/>
      <c r="W92" s="456"/>
      <c r="X92" s="457"/>
      <c r="Y92" s="457"/>
      <c r="Z92" s="1693"/>
      <c r="AA92" s="456"/>
      <c r="AB92" s="457"/>
      <c r="AC92" s="457"/>
      <c r="AD92" s="1693"/>
      <c r="AE92" s="456"/>
      <c r="AF92" s="457"/>
      <c r="AG92" s="457"/>
      <c r="AH92" s="1693"/>
      <c r="AI92" s="456"/>
      <c r="AJ92" s="457"/>
      <c r="AK92" s="457"/>
      <c r="AL92" s="1693"/>
      <c r="AM92" s="456"/>
      <c r="AN92" s="457"/>
      <c r="AO92" s="457"/>
      <c r="AP92" s="1693"/>
      <c r="AQ92" s="456"/>
      <c r="AR92" s="457"/>
      <c r="AS92" s="457"/>
      <c r="AT92" s="1693"/>
      <c r="AU92" s="442"/>
      <c r="AV92" s="442"/>
      <c r="AW92" s="442"/>
      <c r="AX92" s="442"/>
      <c r="AY92" s="442"/>
    </row>
    <row r="93" spans="1:51" s="449" customFormat="1">
      <c r="A93" s="484">
        <f>A89+1</f>
        <v>81</v>
      </c>
      <c r="B93" s="1784">
        <v>12</v>
      </c>
      <c r="C93" s="1070" t="s">
        <v>676</v>
      </c>
      <c r="D93" s="864" t="s">
        <v>675</v>
      </c>
      <c r="E93" s="1071" t="s">
        <v>1257</v>
      </c>
      <c r="F93" s="1072" t="s">
        <v>1004</v>
      </c>
      <c r="G93" s="1284">
        <f t="shared" ref="G93:I97" si="120">+K93+AE93</f>
        <v>0</v>
      </c>
      <c r="H93" s="1285">
        <f t="shared" si="120"/>
        <v>14932</v>
      </c>
      <c r="I93" s="1285">
        <f t="shared" si="120"/>
        <v>10714</v>
      </c>
      <c r="J93" s="1694">
        <f t="shared" ref="J93:J111" si="121">IF(ISERROR(I93/H93),"-",I93/H93)</f>
        <v>0.71751942137690861</v>
      </c>
      <c r="K93" s="1284">
        <f t="shared" ref="K93:M97" si="122">+O93+S93+W93+AA93</f>
        <v>0</v>
      </c>
      <c r="L93" s="1285">
        <f t="shared" si="122"/>
        <v>14932</v>
      </c>
      <c r="M93" s="1285">
        <f t="shared" si="122"/>
        <v>10714</v>
      </c>
      <c r="N93" s="1694">
        <f t="shared" ref="N93:N111" si="123">IF(ISERROR(M93/L93),"-",M93/L93)</f>
        <v>0.71751942137690861</v>
      </c>
      <c r="O93" s="1051"/>
      <c r="P93" s="1052">
        <v>2447</v>
      </c>
      <c r="Q93" s="1052">
        <v>2447</v>
      </c>
      <c r="R93" s="1700">
        <f t="shared" ref="R93:R111" si="124">IF(ISERROR(Q93/P93),"-",Q93/P93)</f>
        <v>1</v>
      </c>
      <c r="S93" s="1051"/>
      <c r="T93" s="1052">
        <v>10</v>
      </c>
      <c r="U93" s="1052"/>
      <c r="V93" s="1700">
        <f t="shared" ref="V93:V111" si="125">IF(ISERROR(U93/T93),"-",U93/T93)</f>
        <v>0</v>
      </c>
      <c r="W93" s="1051"/>
      <c r="X93" s="1052">
        <f>8267+4208</f>
        <v>12475</v>
      </c>
      <c r="Y93" s="1052">
        <v>8267</v>
      </c>
      <c r="Z93" s="1700">
        <f t="shared" ref="Z93:Z111" si="126">IF(ISERROR(Y93/X93),"-",Y93/X93)</f>
        <v>0.66268537074148293</v>
      </c>
      <c r="AA93" s="1051"/>
      <c r="AB93" s="1052"/>
      <c r="AC93" s="1052"/>
      <c r="AD93" s="1700" t="str">
        <f t="shared" ref="AD93:AD111" si="127">IF(ISERROR(AC93/AB93),"-",AC93/AB93)</f>
        <v>-</v>
      </c>
      <c r="AE93" s="1284">
        <f t="shared" ref="AE93:AG97" si="128">+AI93+AM93+AQ93</f>
        <v>0</v>
      </c>
      <c r="AF93" s="1285">
        <f t="shared" si="128"/>
        <v>0</v>
      </c>
      <c r="AG93" s="1285">
        <f t="shared" si="128"/>
        <v>0</v>
      </c>
      <c r="AH93" s="1694" t="str">
        <f t="shared" ref="AH93:AH111" si="129">IF(ISERROR(AG93/AF93),"-",AG93/AF93)</f>
        <v>-</v>
      </c>
      <c r="AI93" s="1051"/>
      <c r="AJ93" s="1052"/>
      <c r="AK93" s="1052"/>
      <c r="AL93" s="1700" t="str">
        <f t="shared" ref="AL93:AL111" si="130">IF(ISERROR(AK93/AJ93),"-",AK93/AJ93)</f>
        <v>-</v>
      </c>
      <c r="AM93" s="1051"/>
      <c r="AN93" s="1052"/>
      <c r="AO93" s="1052"/>
      <c r="AP93" s="1700" t="str">
        <f t="shared" ref="AP93:AP111" si="131">IF(ISERROR(AO93/AN93),"-",AO93/AN93)</f>
        <v>-</v>
      </c>
      <c r="AQ93" s="1051"/>
      <c r="AR93" s="1052"/>
      <c r="AS93" s="1052"/>
      <c r="AT93" s="1700" t="str">
        <f t="shared" ref="AT93:AT111" si="132">IF(ISERROR(AS93/AR93),"-",AS93/AR93)</f>
        <v>-</v>
      </c>
      <c r="AU93" s="442"/>
      <c r="AV93" s="442"/>
      <c r="AW93" s="442"/>
      <c r="AX93" s="442"/>
      <c r="AY93" s="442"/>
    </row>
    <row r="94" spans="1:51" s="444" customFormat="1" ht="24">
      <c r="A94" s="483">
        <f>+A93+1</f>
        <v>82</v>
      </c>
      <c r="B94" s="249">
        <v>13</v>
      </c>
      <c r="C94" s="1062" t="s">
        <v>1046</v>
      </c>
      <c r="D94" s="856" t="s">
        <v>1287</v>
      </c>
      <c r="E94" s="1060" t="s">
        <v>1257</v>
      </c>
      <c r="F94" s="1069" t="s">
        <v>1280</v>
      </c>
      <c r="G94" s="1276">
        <f t="shared" si="120"/>
        <v>0</v>
      </c>
      <c r="H94" s="1277">
        <f t="shared" si="120"/>
        <v>2893</v>
      </c>
      <c r="I94" s="1277">
        <f t="shared" si="120"/>
        <v>2893</v>
      </c>
      <c r="J94" s="1689">
        <f t="shared" si="121"/>
        <v>1</v>
      </c>
      <c r="K94" s="1276">
        <f t="shared" si="122"/>
        <v>0</v>
      </c>
      <c r="L94" s="1277">
        <f t="shared" si="122"/>
        <v>2893</v>
      </c>
      <c r="M94" s="1277">
        <f t="shared" si="122"/>
        <v>2893</v>
      </c>
      <c r="N94" s="1689">
        <f t="shared" si="123"/>
        <v>1</v>
      </c>
      <c r="O94" s="1049"/>
      <c r="P94" s="1050">
        <f>0+2893</f>
        <v>2893</v>
      </c>
      <c r="Q94" s="1050">
        <v>2893</v>
      </c>
      <c r="R94" s="1701">
        <f t="shared" si="124"/>
        <v>1</v>
      </c>
      <c r="S94" s="1049"/>
      <c r="T94" s="1050"/>
      <c r="U94" s="1050"/>
      <c r="V94" s="1701" t="str">
        <f t="shared" si="125"/>
        <v>-</v>
      </c>
      <c r="W94" s="1049"/>
      <c r="X94" s="1050"/>
      <c r="Y94" s="1050"/>
      <c r="Z94" s="1701" t="str">
        <f t="shared" si="126"/>
        <v>-</v>
      </c>
      <c r="AA94" s="1049"/>
      <c r="AB94" s="1050"/>
      <c r="AC94" s="1050"/>
      <c r="AD94" s="1701" t="str">
        <f t="shared" si="127"/>
        <v>-</v>
      </c>
      <c r="AE94" s="1276">
        <f t="shared" si="128"/>
        <v>0</v>
      </c>
      <c r="AF94" s="1277">
        <f t="shared" si="128"/>
        <v>0</v>
      </c>
      <c r="AG94" s="1277">
        <f t="shared" si="128"/>
        <v>0</v>
      </c>
      <c r="AH94" s="1689" t="str">
        <f t="shared" si="129"/>
        <v>-</v>
      </c>
      <c r="AI94" s="1049"/>
      <c r="AJ94" s="1050"/>
      <c r="AK94" s="1050"/>
      <c r="AL94" s="1701" t="str">
        <f t="shared" si="130"/>
        <v>-</v>
      </c>
      <c r="AM94" s="1049"/>
      <c r="AN94" s="1050"/>
      <c r="AO94" s="1050"/>
      <c r="AP94" s="1701" t="str">
        <f t="shared" si="131"/>
        <v>-</v>
      </c>
      <c r="AQ94" s="1049"/>
      <c r="AR94" s="1050"/>
      <c r="AS94" s="1050"/>
      <c r="AT94" s="1701" t="str">
        <f t="shared" si="132"/>
        <v>-</v>
      </c>
      <c r="AU94" s="442"/>
      <c r="AV94" s="442"/>
      <c r="AW94" s="442"/>
      <c r="AX94" s="442"/>
      <c r="AY94" s="442"/>
    </row>
    <row r="95" spans="1:51">
      <c r="A95" s="483">
        <f t="shared" ref="A95:A97" si="133">+A94+1</f>
        <v>83</v>
      </c>
      <c r="B95" s="249">
        <v>14</v>
      </c>
      <c r="C95" s="1062" t="s">
        <v>708</v>
      </c>
      <c r="D95" s="856" t="s">
        <v>707</v>
      </c>
      <c r="E95" s="1061" t="s">
        <v>1261</v>
      </c>
      <c r="F95" s="1067" t="s">
        <v>783</v>
      </c>
      <c r="G95" s="1280">
        <f t="shared" si="120"/>
        <v>8674</v>
      </c>
      <c r="H95" s="1281">
        <f t="shared" si="120"/>
        <v>6111</v>
      </c>
      <c r="I95" s="1281">
        <f t="shared" si="120"/>
        <v>6111</v>
      </c>
      <c r="J95" s="1668">
        <f t="shared" si="121"/>
        <v>1</v>
      </c>
      <c r="K95" s="1280">
        <f t="shared" si="122"/>
        <v>8674</v>
      </c>
      <c r="L95" s="1281">
        <f t="shared" si="122"/>
        <v>6111</v>
      </c>
      <c r="M95" s="1281">
        <f t="shared" si="122"/>
        <v>6111</v>
      </c>
      <c r="N95" s="1668">
        <f t="shared" si="123"/>
        <v>1</v>
      </c>
      <c r="O95" s="1049"/>
      <c r="P95" s="1050"/>
      <c r="Q95" s="1050"/>
      <c r="R95" s="1701" t="str">
        <f t="shared" si="124"/>
        <v>-</v>
      </c>
      <c r="S95" s="1049"/>
      <c r="T95" s="1050"/>
      <c r="U95" s="1050"/>
      <c r="V95" s="1701" t="str">
        <f t="shared" si="125"/>
        <v>-</v>
      </c>
      <c r="W95" s="1049">
        <v>8674</v>
      </c>
      <c r="X95" s="1050">
        <v>6111</v>
      </c>
      <c r="Y95" s="1050">
        <v>6111</v>
      </c>
      <c r="Z95" s="1701">
        <f t="shared" si="126"/>
        <v>1</v>
      </c>
      <c r="AA95" s="1049"/>
      <c r="AB95" s="1050"/>
      <c r="AC95" s="1050"/>
      <c r="AD95" s="1701" t="str">
        <f t="shared" si="127"/>
        <v>-</v>
      </c>
      <c r="AE95" s="1280">
        <f t="shared" si="128"/>
        <v>0</v>
      </c>
      <c r="AF95" s="1281">
        <f t="shared" si="128"/>
        <v>0</v>
      </c>
      <c r="AG95" s="1281">
        <f t="shared" si="128"/>
        <v>0</v>
      </c>
      <c r="AH95" s="1668" t="str">
        <f t="shared" si="129"/>
        <v>-</v>
      </c>
      <c r="AI95" s="1049"/>
      <c r="AJ95" s="1050"/>
      <c r="AK95" s="1050"/>
      <c r="AL95" s="1701" t="str">
        <f t="shared" si="130"/>
        <v>-</v>
      </c>
      <c r="AM95" s="1049"/>
      <c r="AN95" s="1050"/>
      <c r="AO95" s="1050"/>
      <c r="AP95" s="1701" t="str">
        <f t="shared" si="131"/>
        <v>-</v>
      </c>
      <c r="AQ95" s="1049"/>
      <c r="AR95" s="1050"/>
      <c r="AS95" s="1050"/>
      <c r="AT95" s="1701" t="str">
        <f t="shared" si="132"/>
        <v>-</v>
      </c>
      <c r="AU95" s="442"/>
      <c r="AV95" s="442"/>
      <c r="AW95" s="442"/>
      <c r="AX95" s="442"/>
      <c r="AY95" s="442"/>
    </row>
    <row r="96" spans="1:51">
      <c r="A96" s="483">
        <f t="shared" si="133"/>
        <v>84</v>
      </c>
      <c r="B96" s="249">
        <v>14</v>
      </c>
      <c r="C96" s="1062" t="s">
        <v>708</v>
      </c>
      <c r="D96" s="856" t="s">
        <v>707</v>
      </c>
      <c r="E96" s="1061" t="s">
        <v>1261</v>
      </c>
      <c r="F96" s="1067" t="s">
        <v>1049</v>
      </c>
      <c r="G96" s="1280">
        <f t="shared" si="120"/>
        <v>1000</v>
      </c>
      <c r="H96" s="1281">
        <f t="shared" si="120"/>
        <v>0</v>
      </c>
      <c r="I96" s="1281">
        <f t="shared" si="120"/>
        <v>0</v>
      </c>
      <c r="J96" s="1668" t="str">
        <f t="shared" si="121"/>
        <v>-</v>
      </c>
      <c r="K96" s="1280">
        <f t="shared" si="122"/>
        <v>1000</v>
      </c>
      <c r="L96" s="1281">
        <f t="shared" si="122"/>
        <v>0</v>
      </c>
      <c r="M96" s="1281">
        <f t="shared" si="122"/>
        <v>0</v>
      </c>
      <c r="N96" s="1668" t="str">
        <f t="shared" si="123"/>
        <v>-</v>
      </c>
      <c r="O96" s="1049"/>
      <c r="P96" s="1050"/>
      <c r="Q96" s="1050"/>
      <c r="R96" s="1701" t="str">
        <f t="shared" si="124"/>
        <v>-</v>
      </c>
      <c r="S96" s="1049"/>
      <c r="T96" s="1050"/>
      <c r="U96" s="1050"/>
      <c r="V96" s="1701" t="str">
        <f t="shared" si="125"/>
        <v>-</v>
      </c>
      <c r="W96" s="1049">
        <v>1000</v>
      </c>
      <c r="X96" s="1050">
        <v>0</v>
      </c>
      <c r="Y96" s="1050">
        <v>0</v>
      </c>
      <c r="Z96" s="1701" t="str">
        <f t="shared" si="126"/>
        <v>-</v>
      </c>
      <c r="AA96" s="1049"/>
      <c r="AB96" s="1050"/>
      <c r="AC96" s="1050"/>
      <c r="AD96" s="1701" t="str">
        <f t="shared" si="127"/>
        <v>-</v>
      </c>
      <c r="AE96" s="1280">
        <f t="shared" si="128"/>
        <v>0</v>
      </c>
      <c r="AF96" s="1281">
        <f t="shared" si="128"/>
        <v>0</v>
      </c>
      <c r="AG96" s="1281">
        <f t="shared" si="128"/>
        <v>0</v>
      </c>
      <c r="AH96" s="1668" t="str">
        <f t="shared" si="129"/>
        <v>-</v>
      </c>
      <c r="AI96" s="1049"/>
      <c r="AJ96" s="1050"/>
      <c r="AK96" s="1050"/>
      <c r="AL96" s="1701" t="str">
        <f t="shared" si="130"/>
        <v>-</v>
      </c>
      <c r="AM96" s="1049"/>
      <c r="AN96" s="1050"/>
      <c r="AO96" s="1050"/>
      <c r="AP96" s="1701" t="str">
        <f t="shared" si="131"/>
        <v>-</v>
      </c>
      <c r="AQ96" s="1049"/>
      <c r="AR96" s="1050"/>
      <c r="AS96" s="1050"/>
      <c r="AT96" s="1701" t="str">
        <f t="shared" si="132"/>
        <v>-</v>
      </c>
      <c r="AU96" s="442"/>
      <c r="AV96" s="442"/>
      <c r="AW96" s="442"/>
      <c r="AX96" s="442"/>
      <c r="AY96" s="442"/>
    </row>
    <row r="97" spans="1:51" ht="12.75" thickBot="1">
      <c r="A97" s="483">
        <f t="shared" si="133"/>
        <v>85</v>
      </c>
      <c r="B97" s="249">
        <v>14</v>
      </c>
      <c r="C97" s="1062" t="s">
        <v>1011</v>
      </c>
      <c r="D97" s="856" t="s">
        <v>1012</v>
      </c>
      <c r="E97" s="1061" t="s">
        <v>1257</v>
      </c>
      <c r="F97" s="1067" t="s">
        <v>1004</v>
      </c>
      <c r="G97" s="1280">
        <f t="shared" si="120"/>
        <v>0</v>
      </c>
      <c r="H97" s="1281">
        <f t="shared" si="120"/>
        <v>0</v>
      </c>
      <c r="I97" s="1281">
        <f t="shared" si="120"/>
        <v>0</v>
      </c>
      <c r="J97" s="1668" t="str">
        <f t="shared" si="121"/>
        <v>-</v>
      </c>
      <c r="K97" s="1280">
        <f t="shared" si="122"/>
        <v>0</v>
      </c>
      <c r="L97" s="1281">
        <f t="shared" si="122"/>
        <v>0</v>
      </c>
      <c r="M97" s="1281">
        <f t="shared" si="122"/>
        <v>0</v>
      </c>
      <c r="N97" s="1668" t="str">
        <f t="shared" si="123"/>
        <v>-</v>
      </c>
      <c r="O97" s="1049"/>
      <c r="P97" s="1050"/>
      <c r="Q97" s="1050"/>
      <c r="R97" s="1701" t="str">
        <f t="shared" si="124"/>
        <v>-</v>
      </c>
      <c r="S97" s="1049"/>
      <c r="T97" s="1050"/>
      <c r="U97" s="1050"/>
      <c r="V97" s="1701" t="str">
        <f t="shared" si="125"/>
        <v>-</v>
      </c>
      <c r="W97" s="1049"/>
      <c r="X97" s="1050"/>
      <c r="Y97" s="1050"/>
      <c r="Z97" s="1701" t="str">
        <f t="shared" si="126"/>
        <v>-</v>
      </c>
      <c r="AA97" s="1049"/>
      <c r="AB97" s="1050"/>
      <c r="AC97" s="1050"/>
      <c r="AD97" s="1701" t="str">
        <f t="shared" si="127"/>
        <v>-</v>
      </c>
      <c r="AE97" s="1280">
        <f t="shared" si="128"/>
        <v>0</v>
      </c>
      <c r="AF97" s="1281">
        <f t="shared" si="128"/>
        <v>0</v>
      </c>
      <c r="AG97" s="1281">
        <f t="shared" si="128"/>
        <v>0</v>
      </c>
      <c r="AH97" s="1668" t="str">
        <f t="shared" si="129"/>
        <v>-</v>
      </c>
      <c r="AI97" s="1049"/>
      <c r="AJ97" s="1050"/>
      <c r="AK97" s="1050"/>
      <c r="AL97" s="1701" t="str">
        <f t="shared" si="130"/>
        <v>-</v>
      </c>
      <c r="AM97" s="1049"/>
      <c r="AN97" s="1050"/>
      <c r="AO97" s="1050"/>
      <c r="AP97" s="1701" t="str">
        <f t="shared" si="131"/>
        <v>-</v>
      </c>
      <c r="AQ97" s="1049"/>
      <c r="AR97" s="1050"/>
      <c r="AS97" s="1050"/>
      <c r="AT97" s="1701" t="str">
        <f t="shared" si="132"/>
        <v>-</v>
      </c>
      <c r="AU97" s="442"/>
      <c r="AV97" s="442"/>
      <c r="AW97" s="442"/>
      <c r="AX97" s="442"/>
      <c r="AY97" s="442"/>
    </row>
    <row r="98" spans="1:51" s="440" customFormat="1" ht="12.75" thickBot="1">
      <c r="A98" s="479" t="s">
        <v>599</v>
      </c>
      <c r="B98" s="1771"/>
      <c r="C98" s="1885" t="s">
        <v>873</v>
      </c>
      <c r="D98" s="1886"/>
      <c r="E98" s="1886"/>
      <c r="F98" s="1887"/>
      <c r="G98" s="469">
        <f t="shared" ref="G98" si="134">SUM(G93:G97)</f>
        <v>9674</v>
      </c>
      <c r="H98" s="470">
        <f t="shared" ref="H98:I98" si="135">SUM(H93:H97)</f>
        <v>23936</v>
      </c>
      <c r="I98" s="470">
        <f t="shared" si="135"/>
        <v>19718</v>
      </c>
      <c r="J98" s="1635">
        <f t="shared" si="121"/>
        <v>0.8237800802139037</v>
      </c>
      <c r="K98" s="469">
        <f t="shared" ref="K98:AQ98" si="136">SUM(K93:K97)</f>
        <v>9674</v>
      </c>
      <c r="L98" s="470">
        <f t="shared" ref="L98:M98" si="137">SUM(L93:L97)</f>
        <v>23936</v>
      </c>
      <c r="M98" s="470">
        <f t="shared" si="137"/>
        <v>19718</v>
      </c>
      <c r="N98" s="1635">
        <f t="shared" si="123"/>
        <v>0.8237800802139037</v>
      </c>
      <c r="O98" s="451">
        <f t="shared" si="136"/>
        <v>0</v>
      </c>
      <c r="P98" s="321">
        <f t="shared" ref="P98:Q98" si="138">SUM(P93:P97)</f>
        <v>5340</v>
      </c>
      <c r="Q98" s="321">
        <f t="shared" si="138"/>
        <v>5340</v>
      </c>
      <c r="R98" s="1638">
        <f t="shared" si="124"/>
        <v>1</v>
      </c>
      <c r="S98" s="451">
        <f t="shared" si="136"/>
        <v>0</v>
      </c>
      <c r="T98" s="321">
        <f t="shared" ref="T98:U98" si="139">SUM(T93:T97)</f>
        <v>10</v>
      </c>
      <c r="U98" s="321">
        <f t="shared" si="139"/>
        <v>0</v>
      </c>
      <c r="V98" s="1638">
        <f t="shared" si="125"/>
        <v>0</v>
      </c>
      <c r="W98" s="451">
        <f t="shared" si="136"/>
        <v>9674</v>
      </c>
      <c r="X98" s="321">
        <f t="shared" ref="X98" si="140">SUM(X93:X97)</f>
        <v>18586</v>
      </c>
      <c r="Y98" s="321">
        <f t="shared" ref="Y98" si="141">SUM(Y93:Y97)</f>
        <v>14378</v>
      </c>
      <c r="Z98" s="1638">
        <f t="shared" si="126"/>
        <v>0.77359302700957711</v>
      </c>
      <c r="AA98" s="451">
        <f t="shared" si="136"/>
        <v>0</v>
      </c>
      <c r="AB98" s="321">
        <f t="shared" ref="AB98:AC98" si="142">SUM(AB93:AB97)</f>
        <v>0</v>
      </c>
      <c r="AC98" s="321">
        <f t="shared" si="142"/>
        <v>0</v>
      </c>
      <c r="AD98" s="1638" t="str">
        <f t="shared" si="127"/>
        <v>-</v>
      </c>
      <c r="AE98" s="469">
        <f t="shared" si="136"/>
        <v>0</v>
      </c>
      <c r="AF98" s="470">
        <f t="shared" ref="AF98:AG98" si="143">SUM(AF93:AF97)</f>
        <v>0</v>
      </c>
      <c r="AG98" s="470">
        <f t="shared" si="143"/>
        <v>0</v>
      </c>
      <c r="AH98" s="1635" t="str">
        <f t="shared" si="129"/>
        <v>-</v>
      </c>
      <c r="AI98" s="451">
        <f t="shared" si="136"/>
        <v>0</v>
      </c>
      <c r="AJ98" s="321">
        <f t="shared" ref="AJ98:AK98" si="144">SUM(AJ93:AJ97)</f>
        <v>0</v>
      </c>
      <c r="AK98" s="321">
        <f t="shared" si="144"/>
        <v>0</v>
      </c>
      <c r="AL98" s="1638" t="str">
        <f t="shared" si="130"/>
        <v>-</v>
      </c>
      <c r="AM98" s="451">
        <f t="shared" si="136"/>
        <v>0</v>
      </c>
      <c r="AN98" s="321">
        <f t="shared" ref="AN98:AO98" si="145">SUM(AN93:AN97)</f>
        <v>0</v>
      </c>
      <c r="AO98" s="321">
        <f t="shared" si="145"/>
        <v>0</v>
      </c>
      <c r="AP98" s="1638" t="str">
        <f t="shared" si="131"/>
        <v>-</v>
      </c>
      <c r="AQ98" s="451">
        <f t="shared" si="136"/>
        <v>0</v>
      </c>
      <c r="AR98" s="321">
        <f t="shared" ref="AR98:AS98" si="146">SUM(AR93:AR97)</f>
        <v>0</v>
      </c>
      <c r="AS98" s="321">
        <f t="shared" si="146"/>
        <v>0</v>
      </c>
      <c r="AT98" s="1638" t="str">
        <f t="shared" si="132"/>
        <v>-</v>
      </c>
      <c r="AU98" s="442"/>
      <c r="AV98" s="442"/>
      <c r="AW98" s="442"/>
      <c r="AX98" s="442"/>
      <c r="AY98" s="442"/>
    </row>
    <row r="99" spans="1:51" s="449" customFormat="1">
      <c r="A99" s="483">
        <f>+A97+1</f>
        <v>86</v>
      </c>
      <c r="B99" s="249">
        <v>15</v>
      </c>
      <c r="C99" s="1062" t="s">
        <v>676</v>
      </c>
      <c r="D99" s="856" t="s">
        <v>675</v>
      </c>
      <c r="E99" s="1061" t="s">
        <v>1270</v>
      </c>
      <c r="F99" s="1067" t="s">
        <v>417</v>
      </c>
      <c r="G99" s="1280">
        <f t="shared" ref="G99:I101" si="147">+K99+AE99</f>
        <v>28850</v>
      </c>
      <c r="H99" s="1281">
        <f t="shared" si="147"/>
        <v>26222</v>
      </c>
      <c r="I99" s="1281">
        <f t="shared" si="147"/>
        <v>26222</v>
      </c>
      <c r="J99" s="1668">
        <f t="shared" si="121"/>
        <v>1</v>
      </c>
      <c r="K99" s="1280">
        <f t="shared" ref="K99:M101" si="148">+O99+S99+W99+AA99</f>
        <v>28850</v>
      </c>
      <c r="L99" s="1281">
        <f t="shared" si="148"/>
        <v>26222</v>
      </c>
      <c r="M99" s="1281">
        <f t="shared" si="148"/>
        <v>26222</v>
      </c>
      <c r="N99" s="1668">
        <f t="shared" si="123"/>
        <v>1</v>
      </c>
      <c r="O99" s="1049"/>
      <c r="P99" s="1050"/>
      <c r="Q99" s="1050"/>
      <c r="R99" s="1701" t="str">
        <f t="shared" si="124"/>
        <v>-</v>
      </c>
      <c r="S99" s="1049"/>
      <c r="T99" s="1050"/>
      <c r="U99" s="1050"/>
      <c r="V99" s="1701" t="str">
        <f t="shared" si="125"/>
        <v>-</v>
      </c>
      <c r="W99" s="1049">
        <v>28850</v>
      </c>
      <c r="X99" s="1050">
        <v>26222</v>
      </c>
      <c r="Y99" s="1050">
        <v>26222</v>
      </c>
      <c r="Z99" s="1701">
        <f t="shared" si="126"/>
        <v>1</v>
      </c>
      <c r="AA99" s="1049"/>
      <c r="AB99" s="1050"/>
      <c r="AC99" s="1050"/>
      <c r="AD99" s="1701" t="str">
        <f t="shared" si="127"/>
        <v>-</v>
      </c>
      <c r="AE99" s="1280">
        <f t="shared" ref="AE99:AG101" si="149">+AI99+AM99+AQ99</f>
        <v>0</v>
      </c>
      <c r="AF99" s="1281">
        <f t="shared" si="149"/>
        <v>0</v>
      </c>
      <c r="AG99" s="1281">
        <f t="shared" si="149"/>
        <v>0</v>
      </c>
      <c r="AH99" s="1668" t="str">
        <f t="shared" si="129"/>
        <v>-</v>
      </c>
      <c r="AI99" s="1049"/>
      <c r="AJ99" s="1050"/>
      <c r="AK99" s="1050"/>
      <c r="AL99" s="1701" t="str">
        <f t="shared" si="130"/>
        <v>-</v>
      </c>
      <c r="AM99" s="1049"/>
      <c r="AN99" s="1050"/>
      <c r="AO99" s="1050"/>
      <c r="AP99" s="1701" t="str">
        <f t="shared" si="131"/>
        <v>-</v>
      </c>
      <c r="AQ99" s="1049"/>
      <c r="AR99" s="1050"/>
      <c r="AS99" s="1050"/>
      <c r="AT99" s="1701" t="str">
        <f t="shared" si="132"/>
        <v>-</v>
      </c>
      <c r="AU99" s="442"/>
      <c r="AV99" s="442"/>
      <c r="AW99" s="442"/>
      <c r="AX99" s="442"/>
      <c r="AY99" s="442"/>
    </row>
    <row r="100" spans="1:51" s="449" customFormat="1">
      <c r="A100" s="483">
        <f>+A99+1</f>
        <v>87</v>
      </c>
      <c r="B100" s="249">
        <v>16</v>
      </c>
      <c r="C100" s="1062" t="s">
        <v>1084</v>
      </c>
      <c r="D100" s="856" t="s">
        <v>739</v>
      </c>
      <c r="E100" s="1061" t="s">
        <v>1257</v>
      </c>
      <c r="F100" s="1067" t="s">
        <v>656</v>
      </c>
      <c r="G100" s="1280">
        <f t="shared" si="147"/>
        <v>0</v>
      </c>
      <c r="H100" s="1281">
        <f t="shared" si="147"/>
        <v>0</v>
      </c>
      <c r="I100" s="1281">
        <f t="shared" si="147"/>
        <v>0</v>
      </c>
      <c r="J100" s="1668" t="str">
        <f t="shared" si="121"/>
        <v>-</v>
      </c>
      <c r="K100" s="1280">
        <f t="shared" si="148"/>
        <v>0</v>
      </c>
      <c r="L100" s="1281">
        <f t="shared" si="148"/>
        <v>0</v>
      </c>
      <c r="M100" s="1281">
        <f t="shared" si="148"/>
        <v>0</v>
      </c>
      <c r="N100" s="1668" t="str">
        <f t="shared" si="123"/>
        <v>-</v>
      </c>
      <c r="O100" s="1049"/>
      <c r="P100" s="1050"/>
      <c r="Q100" s="1050"/>
      <c r="R100" s="1701" t="str">
        <f t="shared" si="124"/>
        <v>-</v>
      </c>
      <c r="S100" s="1049"/>
      <c r="T100" s="1050"/>
      <c r="U100" s="1050"/>
      <c r="V100" s="1701" t="str">
        <f t="shared" si="125"/>
        <v>-</v>
      </c>
      <c r="W100" s="1049"/>
      <c r="X100" s="1050"/>
      <c r="Y100" s="1050"/>
      <c r="Z100" s="1701" t="str">
        <f t="shared" si="126"/>
        <v>-</v>
      </c>
      <c r="AA100" s="1049"/>
      <c r="AB100" s="1050"/>
      <c r="AC100" s="1050"/>
      <c r="AD100" s="1701" t="str">
        <f t="shared" si="127"/>
        <v>-</v>
      </c>
      <c r="AE100" s="1280">
        <f t="shared" si="149"/>
        <v>0</v>
      </c>
      <c r="AF100" s="1281">
        <f t="shared" si="149"/>
        <v>0</v>
      </c>
      <c r="AG100" s="1281">
        <f t="shared" si="149"/>
        <v>0</v>
      </c>
      <c r="AH100" s="1668" t="str">
        <f t="shared" si="129"/>
        <v>-</v>
      </c>
      <c r="AI100" s="1049"/>
      <c r="AJ100" s="1050"/>
      <c r="AK100" s="1050"/>
      <c r="AL100" s="1701" t="str">
        <f t="shared" si="130"/>
        <v>-</v>
      </c>
      <c r="AM100" s="1049"/>
      <c r="AN100" s="1050"/>
      <c r="AO100" s="1050"/>
      <c r="AP100" s="1701" t="str">
        <f t="shared" si="131"/>
        <v>-</v>
      </c>
      <c r="AQ100" s="1049"/>
      <c r="AR100" s="1050"/>
      <c r="AS100" s="1050"/>
      <c r="AT100" s="1701" t="str">
        <f t="shared" si="132"/>
        <v>-</v>
      </c>
      <c r="AU100" s="442"/>
      <c r="AV100" s="442"/>
      <c r="AW100" s="442"/>
      <c r="AX100" s="442"/>
      <c r="AY100" s="442"/>
    </row>
    <row r="101" spans="1:51" s="449" customFormat="1" ht="12.75" thickBot="1">
      <c r="A101" s="483">
        <f>+A100+1</f>
        <v>88</v>
      </c>
      <c r="B101" s="249">
        <v>17</v>
      </c>
      <c r="C101" s="1062" t="s">
        <v>741</v>
      </c>
      <c r="D101" s="856" t="s">
        <v>742</v>
      </c>
      <c r="E101" s="1061" t="s">
        <v>1257</v>
      </c>
      <c r="F101" s="1067" t="s">
        <v>669</v>
      </c>
      <c r="G101" s="1280">
        <f t="shared" si="147"/>
        <v>0</v>
      </c>
      <c r="H101" s="1281">
        <f t="shared" si="147"/>
        <v>0</v>
      </c>
      <c r="I101" s="1281">
        <f t="shared" si="147"/>
        <v>0</v>
      </c>
      <c r="J101" s="1668" t="str">
        <f t="shared" si="121"/>
        <v>-</v>
      </c>
      <c r="K101" s="1280">
        <f t="shared" si="148"/>
        <v>0</v>
      </c>
      <c r="L101" s="1281">
        <f t="shared" si="148"/>
        <v>0</v>
      </c>
      <c r="M101" s="1281">
        <f t="shared" si="148"/>
        <v>0</v>
      </c>
      <c r="N101" s="1668" t="str">
        <f t="shared" si="123"/>
        <v>-</v>
      </c>
      <c r="O101" s="1049"/>
      <c r="P101" s="1050"/>
      <c r="Q101" s="1050"/>
      <c r="R101" s="1701" t="str">
        <f t="shared" si="124"/>
        <v>-</v>
      </c>
      <c r="S101" s="1049"/>
      <c r="T101" s="1050"/>
      <c r="U101" s="1050"/>
      <c r="V101" s="1701" t="str">
        <f t="shared" si="125"/>
        <v>-</v>
      </c>
      <c r="W101" s="1049"/>
      <c r="X101" s="1050"/>
      <c r="Y101" s="1050"/>
      <c r="Z101" s="1701" t="str">
        <f t="shared" si="126"/>
        <v>-</v>
      </c>
      <c r="AA101" s="1049"/>
      <c r="AB101" s="1050"/>
      <c r="AC101" s="1050"/>
      <c r="AD101" s="1701" t="str">
        <f t="shared" si="127"/>
        <v>-</v>
      </c>
      <c r="AE101" s="1280">
        <f t="shared" si="149"/>
        <v>0</v>
      </c>
      <c r="AF101" s="1281">
        <f t="shared" si="149"/>
        <v>0</v>
      </c>
      <c r="AG101" s="1281">
        <f t="shared" si="149"/>
        <v>0</v>
      </c>
      <c r="AH101" s="1668" t="str">
        <f t="shared" si="129"/>
        <v>-</v>
      </c>
      <c r="AI101" s="1049"/>
      <c r="AJ101" s="1050"/>
      <c r="AK101" s="1050"/>
      <c r="AL101" s="1701" t="str">
        <f t="shared" si="130"/>
        <v>-</v>
      </c>
      <c r="AM101" s="1049"/>
      <c r="AN101" s="1050"/>
      <c r="AO101" s="1050"/>
      <c r="AP101" s="1701" t="str">
        <f t="shared" si="131"/>
        <v>-</v>
      </c>
      <c r="AQ101" s="1049"/>
      <c r="AR101" s="1050"/>
      <c r="AS101" s="1050"/>
      <c r="AT101" s="1701" t="str">
        <f t="shared" si="132"/>
        <v>-</v>
      </c>
      <c r="AU101" s="442"/>
      <c r="AV101" s="442"/>
      <c r="AW101" s="442"/>
      <c r="AX101" s="442"/>
      <c r="AY101" s="442"/>
    </row>
    <row r="102" spans="1:51" s="440" customFormat="1" ht="12.75" thickBot="1">
      <c r="A102" s="479" t="s">
        <v>641</v>
      </c>
      <c r="B102" s="1771"/>
      <c r="C102" s="1885" t="s">
        <v>874</v>
      </c>
      <c r="D102" s="1886"/>
      <c r="E102" s="1886"/>
      <c r="F102" s="1887"/>
      <c r="G102" s="469">
        <f>SUM(G99:G101)</f>
        <v>28850</v>
      </c>
      <c r="H102" s="470">
        <f>SUM(H99:H101)</f>
        <v>26222</v>
      </c>
      <c r="I102" s="470">
        <f>SUM(I99:I101)</f>
        <v>26222</v>
      </c>
      <c r="J102" s="1635">
        <f t="shared" si="121"/>
        <v>1</v>
      </c>
      <c r="K102" s="469">
        <f t="shared" ref="K102" si="150">SUM(K99:K101)</f>
        <v>28850</v>
      </c>
      <c r="L102" s="470">
        <f t="shared" ref="L102:M102" si="151">SUM(L99:L101)</f>
        <v>26222</v>
      </c>
      <c r="M102" s="470">
        <f t="shared" si="151"/>
        <v>26222</v>
      </c>
      <c r="N102" s="1635">
        <f t="shared" si="123"/>
        <v>1</v>
      </c>
      <c r="O102" s="451">
        <f t="shared" ref="O102:AQ102" si="152">SUM(O99:O101)</f>
        <v>0</v>
      </c>
      <c r="P102" s="321">
        <f t="shared" ref="P102" si="153">SUM(P99:P101)</f>
        <v>0</v>
      </c>
      <c r="Q102" s="321">
        <f t="shared" ref="Q102" si="154">SUM(Q99:Q101)</f>
        <v>0</v>
      </c>
      <c r="R102" s="1638" t="str">
        <f t="shared" si="124"/>
        <v>-</v>
      </c>
      <c r="S102" s="451">
        <f t="shared" si="152"/>
        <v>0</v>
      </c>
      <c r="T102" s="321">
        <f t="shared" ref="T102" si="155">SUM(T99:T101)</f>
        <v>0</v>
      </c>
      <c r="U102" s="321">
        <f t="shared" ref="U102" si="156">SUM(U99:U101)</f>
        <v>0</v>
      </c>
      <c r="V102" s="1638" t="str">
        <f t="shared" si="125"/>
        <v>-</v>
      </c>
      <c r="W102" s="451">
        <f t="shared" si="152"/>
        <v>28850</v>
      </c>
      <c r="X102" s="321">
        <f t="shared" ref="X102" si="157">SUM(X99:X101)</f>
        <v>26222</v>
      </c>
      <c r="Y102" s="321">
        <f t="shared" ref="Y102" si="158">SUM(Y99:Y101)</f>
        <v>26222</v>
      </c>
      <c r="Z102" s="1638">
        <f t="shared" si="126"/>
        <v>1</v>
      </c>
      <c r="AA102" s="451">
        <f t="shared" si="152"/>
        <v>0</v>
      </c>
      <c r="AB102" s="321">
        <f t="shared" ref="AB102" si="159">SUM(AB99:AB101)</f>
        <v>0</v>
      </c>
      <c r="AC102" s="321">
        <f t="shared" ref="AC102" si="160">SUM(AC99:AC101)</f>
        <v>0</v>
      </c>
      <c r="AD102" s="1638" t="str">
        <f t="shared" si="127"/>
        <v>-</v>
      </c>
      <c r="AE102" s="469">
        <f t="shared" si="152"/>
        <v>0</v>
      </c>
      <c r="AF102" s="470">
        <f t="shared" ref="AF102:AG102" si="161">SUM(AF99:AF101)</f>
        <v>0</v>
      </c>
      <c r="AG102" s="470">
        <f t="shared" si="161"/>
        <v>0</v>
      </c>
      <c r="AH102" s="1635" t="str">
        <f t="shared" si="129"/>
        <v>-</v>
      </c>
      <c r="AI102" s="451">
        <f t="shared" si="152"/>
        <v>0</v>
      </c>
      <c r="AJ102" s="321">
        <f t="shared" ref="AJ102" si="162">SUM(AJ99:AJ101)</f>
        <v>0</v>
      </c>
      <c r="AK102" s="321">
        <f t="shared" ref="AK102" si="163">SUM(AK99:AK101)</f>
        <v>0</v>
      </c>
      <c r="AL102" s="1638" t="str">
        <f t="shared" si="130"/>
        <v>-</v>
      </c>
      <c r="AM102" s="451">
        <f t="shared" si="152"/>
        <v>0</v>
      </c>
      <c r="AN102" s="321">
        <f t="shared" ref="AN102" si="164">SUM(AN99:AN101)</f>
        <v>0</v>
      </c>
      <c r="AO102" s="321">
        <f t="shared" ref="AO102" si="165">SUM(AO99:AO101)</f>
        <v>0</v>
      </c>
      <c r="AP102" s="1638" t="str">
        <f t="shared" si="131"/>
        <v>-</v>
      </c>
      <c r="AQ102" s="451">
        <f t="shared" si="152"/>
        <v>0</v>
      </c>
      <c r="AR102" s="321">
        <f t="shared" ref="AR102" si="166">SUM(AR99:AR101)</f>
        <v>0</v>
      </c>
      <c r="AS102" s="321">
        <f t="shared" ref="AS102" si="167">SUM(AS99:AS101)</f>
        <v>0</v>
      </c>
      <c r="AT102" s="1638" t="str">
        <f t="shared" si="132"/>
        <v>-</v>
      </c>
      <c r="AU102" s="442"/>
      <c r="AV102" s="442"/>
      <c r="AW102" s="442"/>
      <c r="AX102" s="442"/>
      <c r="AY102" s="442"/>
    </row>
    <row r="103" spans="1:51">
      <c r="A103" s="483">
        <f>+A101+1</f>
        <v>89</v>
      </c>
      <c r="B103" s="1781">
        <v>18</v>
      </c>
      <c r="C103" s="1059" t="s">
        <v>748</v>
      </c>
      <c r="D103" s="860" t="s">
        <v>747</v>
      </c>
      <c r="E103" s="1060" t="s">
        <v>1257</v>
      </c>
      <c r="F103" s="1073" t="s">
        <v>667</v>
      </c>
      <c r="G103" s="1276">
        <f t="shared" ref="G103:I109" si="168">+K103+AE103</f>
        <v>0</v>
      </c>
      <c r="H103" s="1277">
        <f t="shared" si="168"/>
        <v>0</v>
      </c>
      <c r="I103" s="1277">
        <f t="shared" si="168"/>
        <v>0</v>
      </c>
      <c r="J103" s="1689" t="str">
        <f t="shared" si="121"/>
        <v>-</v>
      </c>
      <c r="K103" s="1276">
        <f t="shared" ref="K103:M109" si="169">+O103+S103+W103+AA103</f>
        <v>0</v>
      </c>
      <c r="L103" s="1277">
        <f t="shared" si="169"/>
        <v>0</v>
      </c>
      <c r="M103" s="1277">
        <f t="shared" si="169"/>
        <v>0</v>
      </c>
      <c r="N103" s="1689" t="str">
        <f t="shared" si="123"/>
        <v>-</v>
      </c>
      <c r="O103" s="1047"/>
      <c r="P103" s="1048"/>
      <c r="Q103" s="1048"/>
      <c r="R103" s="1699" t="str">
        <f t="shared" si="124"/>
        <v>-</v>
      </c>
      <c r="S103" s="1047"/>
      <c r="T103" s="1048"/>
      <c r="U103" s="1048"/>
      <c r="V103" s="1699" t="str">
        <f t="shared" si="125"/>
        <v>-</v>
      </c>
      <c r="W103" s="1047"/>
      <c r="X103" s="1048"/>
      <c r="Y103" s="1048"/>
      <c r="Z103" s="1699" t="str">
        <f t="shared" si="126"/>
        <v>-</v>
      </c>
      <c r="AA103" s="1047"/>
      <c r="AB103" s="1048"/>
      <c r="AC103" s="1048"/>
      <c r="AD103" s="1699" t="str">
        <f t="shared" si="127"/>
        <v>-</v>
      </c>
      <c r="AE103" s="1276">
        <f t="shared" ref="AE103:AG109" si="170">+AI103+AM103+AQ103</f>
        <v>0</v>
      </c>
      <c r="AF103" s="1277">
        <f t="shared" si="170"/>
        <v>0</v>
      </c>
      <c r="AG103" s="1277">
        <f t="shared" si="170"/>
        <v>0</v>
      </c>
      <c r="AH103" s="1689" t="str">
        <f t="shared" si="129"/>
        <v>-</v>
      </c>
      <c r="AI103" s="1047"/>
      <c r="AJ103" s="1048"/>
      <c r="AK103" s="1048"/>
      <c r="AL103" s="1699" t="str">
        <f t="shared" si="130"/>
        <v>-</v>
      </c>
      <c r="AM103" s="1047"/>
      <c r="AN103" s="1048"/>
      <c r="AO103" s="1048"/>
      <c r="AP103" s="1699" t="str">
        <f t="shared" si="131"/>
        <v>-</v>
      </c>
      <c r="AQ103" s="1047"/>
      <c r="AR103" s="1048"/>
      <c r="AS103" s="1048"/>
      <c r="AT103" s="1699" t="str">
        <f t="shared" si="132"/>
        <v>-</v>
      </c>
      <c r="AU103" s="442"/>
      <c r="AV103" s="442"/>
      <c r="AW103" s="442"/>
      <c r="AX103" s="442"/>
      <c r="AY103" s="442"/>
    </row>
    <row r="104" spans="1:51">
      <c r="A104" s="483">
        <f t="shared" ref="A104:A109" si="171">+A103+1</f>
        <v>90</v>
      </c>
      <c r="B104" s="1781">
        <v>18</v>
      </c>
      <c r="C104" s="1059" t="s">
        <v>748</v>
      </c>
      <c r="D104" s="860" t="s">
        <v>747</v>
      </c>
      <c r="E104" s="1060" t="s">
        <v>1257</v>
      </c>
      <c r="F104" s="1073" t="s">
        <v>668</v>
      </c>
      <c r="G104" s="1276">
        <f t="shared" si="168"/>
        <v>0</v>
      </c>
      <c r="H104" s="1277">
        <f t="shared" si="168"/>
        <v>3710</v>
      </c>
      <c r="I104" s="1277">
        <f t="shared" si="168"/>
        <v>3710</v>
      </c>
      <c r="J104" s="1689">
        <f t="shared" si="121"/>
        <v>1</v>
      </c>
      <c r="K104" s="1276">
        <f t="shared" si="169"/>
        <v>0</v>
      </c>
      <c r="L104" s="1277">
        <f t="shared" si="169"/>
        <v>3710</v>
      </c>
      <c r="M104" s="1277">
        <f t="shared" si="169"/>
        <v>3710</v>
      </c>
      <c r="N104" s="1689">
        <f t="shared" si="123"/>
        <v>1</v>
      </c>
      <c r="O104" s="1047"/>
      <c r="P104" s="1048">
        <v>3710</v>
      </c>
      <c r="Q104" s="1048">
        <v>3710</v>
      </c>
      <c r="R104" s="1699">
        <f t="shared" si="124"/>
        <v>1</v>
      </c>
      <c r="S104" s="1047"/>
      <c r="T104" s="1048"/>
      <c r="U104" s="1048"/>
      <c r="V104" s="1699" t="str">
        <f t="shared" si="125"/>
        <v>-</v>
      </c>
      <c r="W104" s="1047"/>
      <c r="X104" s="1048"/>
      <c r="Y104" s="1048"/>
      <c r="Z104" s="1699" t="str">
        <f t="shared" si="126"/>
        <v>-</v>
      </c>
      <c r="AA104" s="1047"/>
      <c r="AB104" s="1048"/>
      <c r="AC104" s="1048"/>
      <c r="AD104" s="1699" t="str">
        <f t="shared" si="127"/>
        <v>-</v>
      </c>
      <c r="AE104" s="1276">
        <f t="shared" si="170"/>
        <v>0</v>
      </c>
      <c r="AF104" s="1277">
        <f t="shared" si="170"/>
        <v>0</v>
      </c>
      <c r="AG104" s="1277">
        <f t="shared" si="170"/>
        <v>0</v>
      </c>
      <c r="AH104" s="1689" t="str">
        <f t="shared" si="129"/>
        <v>-</v>
      </c>
      <c r="AI104" s="1047"/>
      <c r="AJ104" s="1048"/>
      <c r="AK104" s="1048"/>
      <c r="AL104" s="1699" t="str">
        <f t="shared" si="130"/>
        <v>-</v>
      </c>
      <c r="AM104" s="1047"/>
      <c r="AN104" s="1048"/>
      <c r="AO104" s="1048"/>
      <c r="AP104" s="1699" t="str">
        <f t="shared" si="131"/>
        <v>-</v>
      </c>
      <c r="AQ104" s="1047"/>
      <c r="AR104" s="1048"/>
      <c r="AS104" s="1048"/>
      <c r="AT104" s="1699" t="str">
        <f t="shared" si="132"/>
        <v>-</v>
      </c>
      <c r="AU104" s="442"/>
      <c r="AV104" s="442"/>
      <c r="AW104" s="442"/>
      <c r="AX104" s="442"/>
      <c r="AY104" s="442"/>
    </row>
    <row r="105" spans="1:51">
      <c r="A105" s="483">
        <f t="shared" si="171"/>
        <v>91</v>
      </c>
      <c r="B105" s="1781">
        <v>18</v>
      </c>
      <c r="C105" s="1059" t="s">
        <v>748</v>
      </c>
      <c r="D105" s="860" t="s">
        <v>747</v>
      </c>
      <c r="E105" s="1060" t="s">
        <v>1257</v>
      </c>
      <c r="F105" s="1073" t="s">
        <v>745</v>
      </c>
      <c r="G105" s="1276">
        <f t="shared" si="168"/>
        <v>0</v>
      </c>
      <c r="H105" s="1277">
        <f t="shared" si="168"/>
        <v>0</v>
      </c>
      <c r="I105" s="1277">
        <f t="shared" si="168"/>
        <v>0</v>
      </c>
      <c r="J105" s="1689" t="str">
        <f t="shared" si="121"/>
        <v>-</v>
      </c>
      <c r="K105" s="1276">
        <f t="shared" si="169"/>
        <v>0</v>
      </c>
      <c r="L105" s="1277">
        <f t="shared" si="169"/>
        <v>0</v>
      </c>
      <c r="M105" s="1277">
        <f t="shared" si="169"/>
        <v>0</v>
      </c>
      <c r="N105" s="1689" t="str">
        <f t="shared" si="123"/>
        <v>-</v>
      </c>
      <c r="O105" s="1047"/>
      <c r="P105" s="1048"/>
      <c r="Q105" s="1048"/>
      <c r="R105" s="1699" t="str">
        <f t="shared" si="124"/>
        <v>-</v>
      </c>
      <c r="S105" s="1047"/>
      <c r="T105" s="1048"/>
      <c r="U105" s="1048"/>
      <c r="V105" s="1699" t="str">
        <f t="shared" si="125"/>
        <v>-</v>
      </c>
      <c r="W105" s="1047"/>
      <c r="X105" s="1048"/>
      <c r="Y105" s="1048"/>
      <c r="Z105" s="1699" t="str">
        <f t="shared" si="126"/>
        <v>-</v>
      </c>
      <c r="AA105" s="1047"/>
      <c r="AB105" s="1048"/>
      <c r="AC105" s="1048"/>
      <c r="AD105" s="1699" t="str">
        <f t="shared" si="127"/>
        <v>-</v>
      </c>
      <c r="AE105" s="1276">
        <f t="shared" si="170"/>
        <v>0</v>
      </c>
      <c r="AF105" s="1277">
        <f t="shared" si="170"/>
        <v>0</v>
      </c>
      <c r="AG105" s="1277">
        <f t="shared" si="170"/>
        <v>0</v>
      </c>
      <c r="AH105" s="1689" t="str">
        <f t="shared" si="129"/>
        <v>-</v>
      </c>
      <c r="AI105" s="1047"/>
      <c r="AJ105" s="1048"/>
      <c r="AK105" s="1048"/>
      <c r="AL105" s="1699" t="str">
        <f t="shared" si="130"/>
        <v>-</v>
      </c>
      <c r="AM105" s="1047"/>
      <c r="AN105" s="1048"/>
      <c r="AO105" s="1048"/>
      <c r="AP105" s="1699" t="str">
        <f t="shared" si="131"/>
        <v>-</v>
      </c>
      <c r="AQ105" s="1047"/>
      <c r="AR105" s="1048"/>
      <c r="AS105" s="1048"/>
      <c r="AT105" s="1699" t="str">
        <f t="shared" si="132"/>
        <v>-</v>
      </c>
      <c r="AU105" s="442"/>
      <c r="AV105" s="442"/>
      <c r="AW105" s="442"/>
      <c r="AX105" s="442"/>
      <c r="AY105" s="442"/>
    </row>
    <row r="106" spans="1:51">
      <c r="A106" s="483">
        <f t="shared" si="171"/>
        <v>92</v>
      </c>
      <c r="B106" s="1781">
        <v>18</v>
      </c>
      <c r="C106" s="1059" t="s">
        <v>748</v>
      </c>
      <c r="D106" s="860" t="s">
        <v>747</v>
      </c>
      <c r="E106" s="1060" t="s">
        <v>1257</v>
      </c>
      <c r="F106" s="1073" t="s">
        <v>746</v>
      </c>
      <c r="G106" s="1276">
        <f t="shared" si="168"/>
        <v>0</v>
      </c>
      <c r="H106" s="1277">
        <f t="shared" si="168"/>
        <v>2812</v>
      </c>
      <c r="I106" s="1277">
        <f t="shared" si="168"/>
        <v>2812</v>
      </c>
      <c r="J106" s="1689">
        <f t="shared" si="121"/>
        <v>1</v>
      </c>
      <c r="K106" s="1276">
        <f t="shared" si="169"/>
        <v>0</v>
      </c>
      <c r="L106" s="1277">
        <f t="shared" si="169"/>
        <v>2812</v>
      </c>
      <c r="M106" s="1277">
        <f t="shared" si="169"/>
        <v>2812</v>
      </c>
      <c r="N106" s="1689">
        <f t="shared" si="123"/>
        <v>1</v>
      </c>
      <c r="O106" s="1047"/>
      <c r="P106" s="1048">
        <v>2812</v>
      </c>
      <c r="Q106" s="1048">
        <v>2812</v>
      </c>
      <c r="R106" s="1699">
        <f t="shared" si="124"/>
        <v>1</v>
      </c>
      <c r="S106" s="1047"/>
      <c r="T106" s="1048"/>
      <c r="U106" s="1048"/>
      <c r="V106" s="1699" t="str">
        <f t="shared" si="125"/>
        <v>-</v>
      </c>
      <c r="W106" s="1047"/>
      <c r="X106" s="1048"/>
      <c r="Y106" s="1048"/>
      <c r="Z106" s="1699" t="str">
        <f t="shared" si="126"/>
        <v>-</v>
      </c>
      <c r="AA106" s="1047"/>
      <c r="AB106" s="1048"/>
      <c r="AC106" s="1048"/>
      <c r="AD106" s="1699" t="str">
        <f t="shared" si="127"/>
        <v>-</v>
      </c>
      <c r="AE106" s="1276">
        <f t="shared" si="170"/>
        <v>0</v>
      </c>
      <c r="AF106" s="1277">
        <f t="shared" si="170"/>
        <v>0</v>
      </c>
      <c r="AG106" s="1277">
        <f t="shared" si="170"/>
        <v>0</v>
      </c>
      <c r="AH106" s="1689" t="str">
        <f t="shared" si="129"/>
        <v>-</v>
      </c>
      <c r="AI106" s="1047"/>
      <c r="AJ106" s="1048"/>
      <c r="AK106" s="1048"/>
      <c r="AL106" s="1699" t="str">
        <f t="shared" si="130"/>
        <v>-</v>
      </c>
      <c r="AM106" s="1047"/>
      <c r="AN106" s="1048"/>
      <c r="AO106" s="1048"/>
      <c r="AP106" s="1699" t="str">
        <f t="shared" si="131"/>
        <v>-</v>
      </c>
      <c r="AQ106" s="1047"/>
      <c r="AR106" s="1048"/>
      <c r="AS106" s="1048"/>
      <c r="AT106" s="1699" t="str">
        <f t="shared" si="132"/>
        <v>-</v>
      </c>
      <c r="AU106" s="442"/>
      <c r="AV106" s="442"/>
      <c r="AW106" s="442"/>
      <c r="AX106" s="442"/>
      <c r="AY106" s="442"/>
    </row>
    <row r="107" spans="1:51">
      <c r="A107" s="483">
        <f t="shared" si="171"/>
        <v>93</v>
      </c>
      <c r="B107" s="1781">
        <v>18</v>
      </c>
      <c r="C107" s="1059" t="s">
        <v>682</v>
      </c>
      <c r="D107" s="860" t="s">
        <v>681</v>
      </c>
      <c r="E107" s="1060" t="s">
        <v>1257</v>
      </c>
      <c r="F107" s="1073" t="s">
        <v>645</v>
      </c>
      <c r="G107" s="1276">
        <f t="shared" si="168"/>
        <v>0</v>
      </c>
      <c r="H107" s="1277">
        <f t="shared" si="168"/>
        <v>0</v>
      </c>
      <c r="I107" s="1277">
        <f t="shared" si="168"/>
        <v>0</v>
      </c>
      <c r="J107" s="1689" t="str">
        <f t="shared" si="121"/>
        <v>-</v>
      </c>
      <c r="K107" s="1276">
        <f t="shared" si="169"/>
        <v>0</v>
      </c>
      <c r="L107" s="1277">
        <f t="shared" si="169"/>
        <v>0</v>
      </c>
      <c r="M107" s="1277">
        <f t="shared" si="169"/>
        <v>0</v>
      </c>
      <c r="N107" s="1689" t="str">
        <f t="shared" si="123"/>
        <v>-</v>
      </c>
      <c r="O107" s="1047"/>
      <c r="P107" s="1048"/>
      <c r="Q107" s="1048"/>
      <c r="R107" s="1699" t="str">
        <f t="shared" si="124"/>
        <v>-</v>
      </c>
      <c r="S107" s="1047"/>
      <c r="T107" s="1048"/>
      <c r="U107" s="1048"/>
      <c r="V107" s="1699" t="str">
        <f t="shared" si="125"/>
        <v>-</v>
      </c>
      <c r="W107" s="1047"/>
      <c r="X107" s="1048"/>
      <c r="Y107" s="1048"/>
      <c r="Z107" s="1699" t="str">
        <f t="shared" si="126"/>
        <v>-</v>
      </c>
      <c r="AA107" s="1047"/>
      <c r="AB107" s="1048"/>
      <c r="AC107" s="1048"/>
      <c r="AD107" s="1699" t="str">
        <f t="shared" si="127"/>
        <v>-</v>
      </c>
      <c r="AE107" s="1276">
        <f t="shared" si="170"/>
        <v>0</v>
      </c>
      <c r="AF107" s="1277">
        <f t="shared" si="170"/>
        <v>0</v>
      </c>
      <c r="AG107" s="1277">
        <f t="shared" si="170"/>
        <v>0</v>
      </c>
      <c r="AH107" s="1689" t="str">
        <f t="shared" si="129"/>
        <v>-</v>
      </c>
      <c r="AI107" s="1047"/>
      <c r="AJ107" s="1048"/>
      <c r="AK107" s="1048"/>
      <c r="AL107" s="1699" t="str">
        <f t="shared" si="130"/>
        <v>-</v>
      </c>
      <c r="AM107" s="1047"/>
      <c r="AN107" s="1048"/>
      <c r="AO107" s="1048"/>
      <c r="AP107" s="1699" t="str">
        <f t="shared" si="131"/>
        <v>-</v>
      </c>
      <c r="AQ107" s="1047"/>
      <c r="AR107" s="1048"/>
      <c r="AS107" s="1048"/>
      <c r="AT107" s="1699" t="str">
        <f t="shared" si="132"/>
        <v>-</v>
      </c>
      <c r="AU107" s="442"/>
      <c r="AV107" s="442"/>
      <c r="AW107" s="442"/>
      <c r="AX107" s="442"/>
      <c r="AY107" s="442"/>
    </row>
    <row r="108" spans="1:51">
      <c r="A108" s="483">
        <f t="shared" si="171"/>
        <v>94</v>
      </c>
      <c r="B108" s="1781">
        <v>18</v>
      </c>
      <c r="C108" s="1059" t="s">
        <v>1005</v>
      </c>
      <c r="D108" s="860" t="s">
        <v>1006</v>
      </c>
      <c r="E108" s="1060" t="s">
        <v>1257</v>
      </c>
      <c r="F108" s="1073" t="s">
        <v>1007</v>
      </c>
      <c r="G108" s="1276">
        <f t="shared" si="168"/>
        <v>0</v>
      </c>
      <c r="H108" s="1277">
        <f t="shared" si="168"/>
        <v>0</v>
      </c>
      <c r="I108" s="1277">
        <f t="shared" si="168"/>
        <v>0</v>
      </c>
      <c r="J108" s="1689" t="str">
        <f t="shared" si="121"/>
        <v>-</v>
      </c>
      <c r="K108" s="1276">
        <f t="shared" si="169"/>
        <v>0</v>
      </c>
      <c r="L108" s="1277">
        <f t="shared" si="169"/>
        <v>0</v>
      </c>
      <c r="M108" s="1277">
        <f t="shared" si="169"/>
        <v>0</v>
      </c>
      <c r="N108" s="1689" t="str">
        <f t="shared" si="123"/>
        <v>-</v>
      </c>
      <c r="O108" s="1047"/>
      <c r="P108" s="1048"/>
      <c r="Q108" s="1048"/>
      <c r="R108" s="1699" t="str">
        <f t="shared" si="124"/>
        <v>-</v>
      </c>
      <c r="S108" s="1047"/>
      <c r="T108" s="1048"/>
      <c r="U108" s="1048"/>
      <c r="V108" s="1699" t="str">
        <f t="shared" si="125"/>
        <v>-</v>
      </c>
      <c r="W108" s="1047"/>
      <c r="X108" s="1048"/>
      <c r="Y108" s="1048"/>
      <c r="Z108" s="1699" t="str">
        <f t="shared" si="126"/>
        <v>-</v>
      </c>
      <c r="AA108" s="1047"/>
      <c r="AB108" s="1048"/>
      <c r="AC108" s="1048"/>
      <c r="AD108" s="1699" t="str">
        <f t="shared" si="127"/>
        <v>-</v>
      </c>
      <c r="AE108" s="1276">
        <f t="shared" si="170"/>
        <v>0</v>
      </c>
      <c r="AF108" s="1277">
        <f t="shared" si="170"/>
        <v>0</v>
      </c>
      <c r="AG108" s="1277">
        <f t="shared" si="170"/>
        <v>0</v>
      </c>
      <c r="AH108" s="1689" t="str">
        <f t="shared" si="129"/>
        <v>-</v>
      </c>
      <c r="AI108" s="1047"/>
      <c r="AJ108" s="1048"/>
      <c r="AK108" s="1048"/>
      <c r="AL108" s="1699" t="str">
        <f t="shared" si="130"/>
        <v>-</v>
      </c>
      <c r="AM108" s="1047"/>
      <c r="AN108" s="1048"/>
      <c r="AO108" s="1048"/>
      <c r="AP108" s="1699" t="str">
        <f t="shared" si="131"/>
        <v>-</v>
      </c>
      <c r="AQ108" s="1047"/>
      <c r="AR108" s="1048"/>
      <c r="AS108" s="1048"/>
      <c r="AT108" s="1699" t="str">
        <f t="shared" si="132"/>
        <v>-</v>
      </c>
      <c r="AU108" s="442"/>
      <c r="AV108" s="442"/>
      <c r="AW108" s="442"/>
      <c r="AX108" s="442"/>
      <c r="AY108" s="442"/>
    </row>
    <row r="109" spans="1:51" ht="12.75" thickBot="1">
      <c r="A109" s="483">
        <f t="shared" si="171"/>
        <v>95</v>
      </c>
      <c r="B109" s="1781">
        <v>18</v>
      </c>
      <c r="C109" s="1059" t="s">
        <v>1015</v>
      </c>
      <c r="D109" s="860" t="s">
        <v>1014</v>
      </c>
      <c r="E109" s="1060" t="s">
        <v>1257</v>
      </c>
      <c r="F109" s="1073" t="s">
        <v>1007</v>
      </c>
      <c r="G109" s="1276">
        <f t="shared" si="168"/>
        <v>0</v>
      </c>
      <c r="H109" s="1277">
        <f t="shared" si="168"/>
        <v>0</v>
      </c>
      <c r="I109" s="1277">
        <f t="shared" si="168"/>
        <v>0</v>
      </c>
      <c r="J109" s="1689" t="str">
        <f t="shared" si="121"/>
        <v>-</v>
      </c>
      <c r="K109" s="1276">
        <f t="shared" si="169"/>
        <v>0</v>
      </c>
      <c r="L109" s="1277">
        <f t="shared" si="169"/>
        <v>0</v>
      </c>
      <c r="M109" s="1277">
        <f t="shared" si="169"/>
        <v>0</v>
      </c>
      <c r="N109" s="1689" t="str">
        <f t="shared" si="123"/>
        <v>-</v>
      </c>
      <c r="O109" s="1047"/>
      <c r="P109" s="1048"/>
      <c r="Q109" s="1048"/>
      <c r="R109" s="1699" t="str">
        <f t="shared" si="124"/>
        <v>-</v>
      </c>
      <c r="S109" s="1047"/>
      <c r="T109" s="1048"/>
      <c r="U109" s="1048"/>
      <c r="V109" s="1699" t="str">
        <f t="shared" si="125"/>
        <v>-</v>
      </c>
      <c r="W109" s="1047"/>
      <c r="X109" s="1048"/>
      <c r="Y109" s="1048"/>
      <c r="Z109" s="1699" t="str">
        <f t="shared" si="126"/>
        <v>-</v>
      </c>
      <c r="AA109" s="1047"/>
      <c r="AB109" s="1048"/>
      <c r="AC109" s="1048"/>
      <c r="AD109" s="1699" t="str">
        <f t="shared" si="127"/>
        <v>-</v>
      </c>
      <c r="AE109" s="1276">
        <f t="shared" si="170"/>
        <v>0</v>
      </c>
      <c r="AF109" s="1277">
        <f t="shared" si="170"/>
        <v>0</v>
      </c>
      <c r="AG109" s="1277">
        <f t="shared" si="170"/>
        <v>0</v>
      </c>
      <c r="AH109" s="1689" t="str">
        <f t="shared" si="129"/>
        <v>-</v>
      </c>
      <c r="AI109" s="1047"/>
      <c r="AJ109" s="1048"/>
      <c r="AK109" s="1048"/>
      <c r="AL109" s="1699" t="str">
        <f t="shared" si="130"/>
        <v>-</v>
      </c>
      <c r="AM109" s="1047"/>
      <c r="AN109" s="1048"/>
      <c r="AO109" s="1048"/>
      <c r="AP109" s="1699" t="str">
        <f t="shared" si="131"/>
        <v>-</v>
      </c>
      <c r="AQ109" s="1047"/>
      <c r="AR109" s="1048"/>
      <c r="AS109" s="1048"/>
      <c r="AT109" s="1699" t="str">
        <f t="shared" si="132"/>
        <v>-</v>
      </c>
      <c r="AU109" s="442"/>
      <c r="AV109" s="442"/>
      <c r="AW109" s="442"/>
      <c r="AX109" s="442"/>
      <c r="AY109" s="442"/>
    </row>
    <row r="110" spans="1:51" s="440" customFormat="1" ht="12.75" thickBot="1">
      <c r="A110" s="479" t="s">
        <v>753</v>
      </c>
      <c r="B110" s="1771"/>
      <c r="C110" s="1885" t="s">
        <v>875</v>
      </c>
      <c r="D110" s="1886"/>
      <c r="E110" s="1886"/>
      <c r="F110" s="1887"/>
      <c r="G110" s="469">
        <f>SUM(G103:G109)</f>
        <v>0</v>
      </c>
      <c r="H110" s="470">
        <f>SUM(H103:H109)</f>
        <v>6522</v>
      </c>
      <c r="I110" s="470">
        <f>SUM(I103:I109)</f>
        <v>6522</v>
      </c>
      <c r="J110" s="1635">
        <f t="shared" si="121"/>
        <v>1</v>
      </c>
      <c r="K110" s="469">
        <f t="shared" ref="K110" si="172">SUM(K103:K109)</f>
        <v>0</v>
      </c>
      <c r="L110" s="470">
        <f t="shared" ref="L110:M110" si="173">SUM(L103:L109)</f>
        <v>6522</v>
      </c>
      <c r="M110" s="470">
        <f t="shared" si="173"/>
        <v>6522</v>
      </c>
      <c r="N110" s="1635">
        <f t="shared" si="123"/>
        <v>1</v>
      </c>
      <c r="O110" s="451">
        <f t="shared" ref="O110:AQ110" si="174">SUM(O103:O109)</f>
        <v>0</v>
      </c>
      <c r="P110" s="321">
        <f t="shared" ref="P110:Q110" si="175">SUM(P103:P109)</f>
        <v>6522</v>
      </c>
      <c r="Q110" s="321">
        <f t="shared" si="175"/>
        <v>6522</v>
      </c>
      <c r="R110" s="1638">
        <f t="shared" si="124"/>
        <v>1</v>
      </c>
      <c r="S110" s="451">
        <f t="shared" si="174"/>
        <v>0</v>
      </c>
      <c r="T110" s="321">
        <f t="shared" ref="T110:U110" si="176">SUM(T103:T109)</f>
        <v>0</v>
      </c>
      <c r="U110" s="321">
        <f t="shared" si="176"/>
        <v>0</v>
      </c>
      <c r="V110" s="1638" t="str">
        <f t="shared" si="125"/>
        <v>-</v>
      </c>
      <c r="W110" s="451">
        <f t="shared" si="174"/>
        <v>0</v>
      </c>
      <c r="X110" s="321">
        <f t="shared" ref="X110:Y110" si="177">SUM(X103:X109)</f>
        <v>0</v>
      </c>
      <c r="Y110" s="321">
        <f t="shared" si="177"/>
        <v>0</v>
      </c>
      <c r="Z110" s="1638" t="str">
        <f t="shared" si="126"/>
        <v>-</v>
      </c>
      <c r="AA110" s="451">
        <f t="shared" si="174"/>
        <v>0</v>
      </c>
      <c r="AB110" s="321">
        <f t="shared" ref="AB110:AC110" si="178">SUM(AB103:AB109)</f>
        <v>0</v>
      </c>
      <c r="AC110" s="321">
        <f t="shared" si="178"/>
        <v>0</v>
      </c>
      <c r="AD110" s="1638" t="str">
        <f t="shared" si="127"/>
        <v>-</v>
      </c>
      <c r="AE110" s="469">
        <f t="shared" si="174"/>
        <v>0</v>
      </c>
      <c r="AF110" s="470">
        <f t="shared" ref="AF110:AG110" si="179">SUM(AF103:AF109)</f>
        <v>0</v>
      </c>
      <c r="AG110" s="470">
        <f t="shared" si="179"/>
        <v>0</v>
      </c>
      <c r="AH110" s="1635" t="str">
        <f t="shared" si="129"/>
        <v>-</v>
      </c>
      <c r="AI110" s="451">
        <f t="shared" si="174"/>
        <v>0</v>
      </c>
      <c r="AJ110" s="321">
        <f t="shared" ref="AJ110:AK110" si="180">SUM(AJ103:AJ109)</f>
        <v>0</v>
      </c>
      <c r="AK110" s="321">
        <f t="shared" si="180"/>
        <v>0</v>
      </c>
      <c r="AL110" s="1638" t="str">
        <f t="shared" si="130"/>
        <v>-</v>
      </c>
      <c r="AM110" s="451">
        <f t="shared" si="174"/>
        <v>0</v>
      </c>
      <c r="AN110" s="321">
        <f t="shared" ref="AN110:AO110" si="181">SUM(AN103:AN109)</f>
        <v>0</v>
      </c>
      <c r="AO110" s="321">
        <f t="shared" si="181"/>
        <v>0</v>
      </c>
      <c r="AP110" s="1638" t="str">
        <f t="shared" si="131"/>
        <v>-</v>
      </c>
      <c r="AQ110" s="451">
        <f t="shared" si="174"/>
        <v>0</v>
      </c>
      <c r="AR110" s="321">
        <f t="shared" ref="AR110:AS110" si="182">SUM(AR103:AR109)</f>
        <v>0</v>
      </c>
      <c r="AS110" s="321">
        <f t="shared" si="182"/>
        <v>0</v>
      </c>
      <c r="AT110" s="1638" t="str">
        <f t="shared" si="132"/>
        <v>-</v>
      </c>
      <c r="AU110" s="442"/>
      <c r="AV110" s="442"/>
      <c r="AW110" s="442"/>
      <c r="AX110" s="442"/>
      <c r="AY110" s="442"/>
    </row>
    <row r="111" spans="1:51" s="440" customFormat="1" ht="12.75" thickBot="1">
      <c r="A111" s="480" t="s">
        <v>22</v>
      </c>
      <c r="B111" s="1782"/>
      <c r="C111" s="1903" t="s">
        <v>876</v>
      </c>
      <c r="D111" s="1904"/>
      <c r="E111" s="1904"/>
      <c r="F111" s="1905"/>
      <c r="G111" s="453">
        <f t="shared" ref="G111" si="183">+G98+G102+G110</f>
        <v>38524</v>
      </c>
      <c r="H111" s="454">
        <f t="shared" ref="H111:I111" si="184">+H98+H102+H110</f>
        <v>56680</v>
      </c>
      <c r="I111" s="454">
        <f t="shared" si="184"/>
        <v>52462</v>
      </c>
      <c r="J111" s="1692">
        <f t="shared" si="121"/>
        <v>0.92558221594918844</v>
      </c>
      <c r="K111" s="453">
        <f t="shared" ref="K111:AQ111" si="185">+K98+K102+K110</f>
        <v>38524</v>
      </c>
      <c r="L111" s="454">
        <f t="shared" ref="L111:M111" si="186">+L98+L102+L110</f>
        <v>56680</v>
      </c>
      <c r="M111" s="454">
        <f t="shared" si="186"/>
        <v>52462</v>
      </c>
      <c r="N111" s="1692">
        <f t="shared" si="123"/>
        <v>0.92558221594918844</v>
      </c>
      <c r="O111" s="453">
        <f t="shared" si="185"/>
        <v>0</v>
      </c>
      <c r="P111" s="454">
        <f t="shared" ref="P111:Q111" si="187">+P98+P102+P110</f>
        <v>11862</v>
      </c>
      <c r="Q111" s="454">
        <f t="shared" si="187"/>
        <v>11862</v>
      </c>
      <c r="R111" s="1692">
        <f t="shared" si="124"/>
        <v>1</v>
      </c>
      <c r="S111" s="453">
        <f t="shared" si="185"/>
        <v>0</v>
      </c>
      <c r="T111" s="454">
        <f t="shared" ref="T111:U111" si="188">+T98+T102+T110</f>
        <v>10</v>
      </c>
      <c r="U111" s="454">
        <f t="shared" si="188"/>
        <v>0</v>
      </c>
      <c r="V111" s="1692">
        <f t="shared" si="125"/>
        <v>0</v>
      </c>
      <c r="W111" s="453">
        <f t="shared" si="185"/>
        <v>38524</v>
      </c>
      <c r="X111" s="454">
        <f t="shared" ref="X111:Y111" si="189">+X98+X102+X110</f>
        <v>44808</v>
      </c>
      <c r="Y111" s="454">
        <f t="shared" si="189"/>
        <v>40600</v>
      </c>
      <c r="Z111" s="1692">
        <f t="shared" si="126"/>
        <v>0.90608819853597566</v>
      </c>
      <c r="AA111" s="453">
        <f t="shared" si="185"/>
        <v>0</v>
      </c>
      <c r="AB111" s="454">
        <f t="shared" ref="AB111:AC111" si="190">+AB98+AB102+AB110</f>
        <v>0</v>
      </c>
      <c r="AC111" s="454">
        <f t="shared" si="190"/>
        <v>0</v>
      </c>
      <c r="AD111" s="1692" t="str">
        <f t="shared" si="127"/>
        <v>-</v>
      </c>
      <c r="AE111" s="453">
        <f t="shared" si="185"/>
        <v>0</v>
      </c>
      <c r="AF111" s="454">
        <f t="shared" ref="AF111:AG111" si="191">+AF98+AF102+AF110</f>
        <v>0</v>
      </c>
      <c r="AG111" s="454">
        <f t="shared" si="191"/>
        <v>0</v>
      </c>
      <c r="AH111" s="1692" t="str">
        <f t="shared" si="129"/>
        <v>-</v>
      </c>
      <c r="AI111" s="453">
        <f t="shared" si="185"/>
        <v>0</v>
      </c>
      <c r="AJ111" s="454">
        <f t="shared" ref="AJ111:AK111" si="192">+AJ98+AJ102+AJ110</f>
        <v>0</v>
      </c>
      <c r="AK111" s="454">
        <f t="shared" si="192"/>
        <v>0</v>
      </c>
      <c r="AL111" s="1692" t="str">
        <f t="shared" si="130"/>
        <v>-</v>
      </c>
      <c r="AM111" s="453">
        <f t="shared" si="185"/>
        <v>0</v>
      </c>
      <c r="AN111" s="454">
        <f t="shared" ref="AN111:AO111" si="193">+AN98+AN102+AN110</f>
        <v>0</v>
      </c>
      <c r="AO111" s="454">
        <f t="shared" si="193"/>
        <v>0</v>
      </c>
      <c r="AP111" s="1692" t="str">
        <f t="shared" si="131"/>
        <v>-</v>
      </c>
      <c r="AQ111" s="453">
        <f t="shared" si="185"/>
        <v>0</v>
      </c>
      <c r="AR111" s="454">
        <f t="shared" ref="AR111:AS111" si="194">+AR98+AR102+AR110</f>
        <v>0</v>
      </c>
      <c r="AS111" s="454">
        <f t="shared" si="194"/>
        <v>0</v>
      </c>
      <c r="AT111" s="1692" t="str">
        <f t="shared" si="132"/>
        <v>-</v>
      </c>
      <c r="AU111" s="442"/>
      <c r="AV111" s="442"/>
      <c r="AW111" s="442"/>
      <c r="AX111" s="442"/>
      <c r="AY111" s="442"/>
    </row>
    <row r="112" spans="1:51" s="440" customFormat="1" ht="12.75" thickBot="1">
      <c r="A112" s="479"/>
      <c r="B112" s="1775"/>
      <c r="C112" s="833"/>
      <c r="D112" s="478"/>
      <c r="E112" s="828"/>
      <c r="F112" s="450"/>
      <c r="G112" s="469"/>
      <c r="H112" s="470"/>
      <c r="I112" s="470"/>
      <c r="J112" s="1635"/>
      <c r="K112" s="469"/>
      <c r="L112" s="470"/>
      <c r="M112" s="470"/>
      <c r="N112" s="1635"/>
      <c r="O112" s="451"/>
      <c r="P112" s="321"/>
      <c r="Q112" s="321"/>
      <c r="R112" s="1638"/>
      <c r="S112" s="451"/>
      <c r="T112" s="321"/>
      <c r="U112" s="321"/>
      <c r="V112" s="1638"/>
      <c r="W112" s="451"/>
      <c r="X112" s="321"/>
      <c r="Y112" s="321"/>
      <c r="Z112" s="1638"/>
      <c r="AA112" s="451"/>
      <c r="AB112" s="321"/>
      <c r="AC112" s="321"/>
      <c r="AD112" s="1638"/>
      <c r="AE112" s="469"/>
      <c r="AF112" s="470"/>
      <c r="AG112" s="470"/>
      <c r="AH112" s="1635"/>
      <c r="AI112" s="451"/>
      <c r="AJ112" s="321"/>
      <c r="AK112" s="321"/>
      <c r="AL112" s="1638"/>
      <c r="AM112" s="451"/>
      <c r="AN112" s="321"/>
      <c r="AO112" s="321"/>
      <c r="AP112" s="1638"/>
      <c r="AQ112" s="451"/>
      <c r="AR112" s="321"/>
      <c r="AS112" s="321"/>
      <c r="AT112" s="1638"/>
      <c r="AU112" s="442"/>
      <c r="AV112" s="442"/>
      <c r="AW112" s="442"/>
      <c r="AX112" s="442"/>
      <c r="AY112" s="442"/>
    </row>
    <row r="113" spans="1:51">
      <c r="A113" s="483">
        <f>+A109+1</f>
        <v>96</v>
      </c>
      <c r="B113" s="1781">
        <v>19</v>
      </c>
      <c r="C113" s="1059" t="s">
        <v>1087</v>
      </c>
      <c r="D113" s="860" t="s">
        <v>1088</v>
      </c>
      <c r="E113" s="1060" t="s">
        <v>1257</v>
      </c>
      <c r="F113" s="1073" t="s">
        <v>1089</v>
      </c>
      <c r="G113" s="1276">
        <f t="shared" ref="G113:I118" si="195">+K113+AE113</f>
        <v>0</v>
      </c>
      <c r="H113" s="1277">
        <f t="shared" si="195"/>
        <v>3478</v>
      </c>
      <c r="I113" s="1277">
        <f t="shared" si="195"/>
        <v>3478</v>
      </c>
      <c r="J113" s="1689">
        <f t="shared" ref="J113:J124" si="196">IF(ISERROR(I113/H113),"-",I113/H113)</f>
        <v>1</v>
      </c>
      <c r="K113" s="1276">
        <f t="shared" ref="K113:M118" si="197">+O113+S113+W113+AA113</f>
        <v>0</v>
      </c>
      <c r="L113" s="1277">
        <f t="shared" si="197"/>
        <v>3478</v>
      </c>
      <c r="M113" s="1277">
        <f t="shared" si="197"/>
        <v>3478</v>
      </c>
      <c r="N113" s="1689">
        <f t="shared" ref="N113:N124" si="198">IF(ISERROR(M113/L113),"-",M113/L113)</f>
        <v>1</v>
      </c>
      <c r="O113" s="1047"/>
      <c r="P113" s="1048"/>
      <c r="Q113" s="1048"/>
      <c r="R113" s="1699" t="str">
        <f t="shared" ref="R113:R124" si="199">IF(ISERROR(Q113/P113),"-",Q113/P113)</f>
        <v>-</v>
      </c>
      <c r="S113" s="1047"/>
      <c r="T113" s="1048"/>
      <c r="U113" s="1048"/>
      <c r="V113" s="1699" t="str">
        <f t="shared" ref="V113:V124" si="200">IF(ISERROR(U113/T113),"-",U113/T113)</f>
        <v>-</v>
      </c>
      <c r="W113" s="1047"/>
      <c r="X113" s="1048">
        <f>3478</f>
        <v>3478</v>
      </c>
      <c r="Y113" s="1048">
        <v>3478</v>
      </c>
      <c r="Z113" s="1699">
        <f t="shared" ref="Z113:Z124" si="201">IF(ISERROR(Y113/X113),"-",Y113/X113)</f>
        <v>1</v>
      </c>
      <c r="AA113" s="1047"/>
      <c r="AB113" s="1048"/>
      <c r="AC113" s="1048"/>
      <c r="AD113" s="1699" t="str">
        <f t="shared" ref="AD113:AD124" si="202">IF(ISERROR(AC113/AB113),"-",AC113/AB113)</f>
        <v>-</v>
      </c>
      <c r="AE113" s="1276">
        <f t="shared" ref="AE113:AG118" si="203">+AI113+AM113+AQ113</f>
        <v>0</v>
      </c>
      <c r="AF113" s="1277">
        <f t="shared" si="203"/>
        <v>0</v>
      </c>
      <c r="AG113" s="1277">
        <f t="shared" si="203"/>
        <v>0</v>
      </c>
      <c r="AH113" s="1689" t="str">
        <f t="shared" ref="AH113:AH124" si="204">IF(ISERROR(AG113/AF113),"-",AG113/AF113)</f>
        <v>-</v>
      </c>
      <c r="AI113" s="1047"/>
      <c r="AJ113" s="1048"/>
      <c r="AK113" s="1048"/>
      <c r="AL113" s="1699" t="str">
        <f t="shared" ref="AL113:AL124" si="205">IF(ISERROR(AK113/AJ113),"-",AK113/AJ113)</f>
        <v>-</v>
      </c>
      <c r="AM113" s="1047"/>
      <c r="AN113" s="1048"/>
      <c r="AO113" s="1048"/>
      <c r="AP113" s="1699" t="str">
        <f t="shared" ref="AP113:AP124" si="206">IF(ISERROR(AO113/AN113),"-",AO113/AN113)</f>
        <v>-</v>
      </c>
      <c r="AQ113" s="1047"/>
      <c r="AR113" s="1048"/>
      <c r="AS113" s="1048"/>
      <c r="AT113" s="1699" t="str">
        <f t="shared" ref="AT113:AT124" si="207">IF(ISERROR(AS113/AR113),"-",AS113/AR113)</f>
        <v>-</v>
      </c>
      <c r="AU113" s="442"/>
      <c r="AV113" s="442"/>
      <c r="AW113" s="442"/>
      <c r="AX113" s="442"/>
      <c r="AY113" s="442"/>
    </row>
    <row r="114" spans="1:51">
      <c r="A114" s="483">
        <f>+A113+1</f>
        <v>97</v>
      </c>
      <c r="B114" s="1781">
        <v>20</v>
      </c>
      <c r="C114" s="1059" t="s">
        <v>1090</v>
      </c>
      <c r="D114" s="860" t="s">
        <v>1091</v>
      </c>
      <c r="E114" s="1060" t="s">
        <v>1271</v>
      </c>
      <c r="F114" s="1073" t="s">
        <v>1096</v>
      </c>
      <c r="G114" s="1276">
        <f t="shared" si="195"/>
        <v>9862</v>
      </c>
      <c r="H114" s="1277">
        <f t="shared" si="195"/>
        <v>909</v>
      </c>
      <c r="I114" s="1277">
        <f t="shared" si="195"/>
        <v>909</v>
      </c>
      <c r="J114" s="1689">
        <f t="shared" si="196"/>
        <v>1</v>
      </c>
      <c r="K114" s="1276">
        <f t="shared" si="197"/>
        <v>9862</v>
      </c>
      <c r="L114" s="1277">
        <f t="shared" si="197"/>
        <v>909</v>
      </c>
      <c r="M114" s="1277">
        <f t="shared" si="197"/>
        <v>909</v>
      </c>
      <c r="N114" s="1689">
        <f t="shared" si="198"/>
        <v>1</v>
      </c>
      <c r="O114" s="1047"/>
      <c r="P114" s="1048"/>
      <c r="Q114" s="1048"/>
      <c r="R114" s="1699" t="str">
        <f t="shared" si="199"/>
        <v>-</v>
      </c>
      <c r="S114" s="1047"/>
      <c r="T114" s="1048"/>
      <c r="U114" s="1048"/>
      <c r="V114" s="1699" t="str">
        <f t="shared" si="200"/>
        <v>-</v>
      </c>
      <c r="W114" s="1047">
        <v>9862</v>
      </c>
      <c r="X114" s="1048">
        <f>10588-9679</f>
        <v>909</v>
      </c>
      <c r="Y114" s="1048">
        <f>10588-9679</f>
        <v>909</v>
      </c>
      <c r="Z114" s="1699">
        <f t="shared" si="201"/>
        <v>1</v>
      </c>
      <c r="AA114" s="1047"/>
      <c r="AB114" s="1048"/>
      <c r="AC114" s="1048"/>
      <c r="AD114" s="1699" t="str">
        <f t="shared" si="202"/>
        <v>-</v>
      </c>
      <c r="AE114" s="1276">
        <f t="shared" si="203"/>
        <v>0</v>
      </c>
      <c r="AF114" s="1277">
        <f t="shared" si="203"/>
        <v>0</v>
      </c>
      <c r="AG114" s="1277">
        <f t="shared" si="203"/>
        <v>0</v>
      </c>
      <c r="AH114" s="1689" t="str">
        <f t="shared" si="204"/>
        <v>-</v>
      </c>
      <c r="AI114" s="1047"/>
      <c r="AJ114" s="1048"/>
      <c r="AK114" s="1048"/>
      <c r="AL114" s="1699" t="str">
        <f t="shared" si="205"/>
        <v>-</v>
      </c>
      <c r="AM114" s="1047"/>
      <c r="AN114" s="1048"/>
      <c r="AO114" s="1048"/>
      <c r="AP114" s="1699" t="str">
        <f t="shared" si="206"/>
        <v>-</v>
      </c>
      <c r="AQ114" s="1047"/>
      <c r="AR114" s="1048"/>
      <c r="AS114" s="1048"/>
      <c r="AT114" s="1699" t="str">
        <f t="shared" si="207"/>
        <v>-</v>
      </c>
      <c r="AU114" s="442"/>
      <c r="AV114" s="442"/>
      <c r="AW114" s="442"/>
      <c r="AX114" s="442"/>
      <c r="AY114" s="442"/>
    </row>
    <row r="115" spans="1:51">
      <c r="A115" s="483">
        <f>+A114+1</f>
        <v>98</v>
      </c>
      <c r="B115" s="1781">
        <v>20</v>
      </c>
      <c r="C115" s="1059" t="s">
        <v>1090</v>
      </c>
      <c r="D115" s="860" t="s">
        <v>1091</v>
      </c>
      <c r="E115" s="1060" t="s">
        <v>1272</v>
      </c>
      <c r="F115" s="1073" t="s">
        <v>1097</v>
      </c>
      <c r="G115" s="1276">
        <f t="shared" si="195"/>
        <v>9696</v>
      </c>
      <c r="H115" s="1277">
        <f t="shared" si="195"/>
        <v>10716</v>
      </c>
      <c r="I115" s="1277">
        <f t="shared" si="195"/>
        <v>9679</v>
      </c>
      <c r="J115" s="1689">
        <f t="shared" si="196"/>
        <v>0.90322881672265776</v>
      </c>
      <c r="K115" s="1276">
        <f t="shared" si="197"/>
        <v>9696</v>
      </c>
      <c r="L115" s="1277">
        <f t="shared" si="197"/>
        <v>10716</v>
      </c>
      <c r="M115" s="1277">
        <f t="shared" si="197"/>
        <v>9679</v>
      </c>
      <c r="N115" s="1689">
        <f t="shared" si="198"/>
        <v>0.90322881672265776</v>
      </c>
      <c r="O115" s="1047"/>
      <c r="P115" s="1048"/>
      <c r="Q115" s="1048"/>
      <c r="R115" s="1699" t="str">
        <f t="shared" si="199"/>
        <v>-</v>
      </c>
      <c r="S115" s="1047"/>
      <c r="T115" s="1048"/>
      <c r="U115" s="1048"/>
      <c r="V115" s="1699" t="str">
        <f t="shared" si="200"/>
        <v>-</v>
      </c>
      <c r="W115" s="1047">
        <v>9696</v>
      </c>
      <c r="X115" s="1048">
        <f>9679+1037</f>
        <v>10716</v>
      </c>
      <c r="Y115" s="1048">
        <v>9679</v>
      </c>
      <c r="Z115" s="1699">
        <f t="shared" si="201"/>
        <v>0.90322881672265776</v>
      </c>
      <c r="AA115" s="1047"/>
      <c r="AB115" s="1048"/>
      <c r="AC115" s="1048"/>
      <c r="AD115" s="1699" t="str">
        <f t="shared" si="202"/>
        <v>-</v>
      </c>
      <c r="AE115" s="1276">
        <f t="shared" si="203"/>
        <v>0</v>
      </c>
      <c r="AF115" s="1277">
        <f t="shared" si="203"/>
        <v>0</v>
      </c>
      <c r="AG115" s="1277">
        <f t="shared" si="203"/>
        <v>0</v>
      </c>
      <c r="AH115" s="1689" t="str">
        <f t="shared" si="204"/>
        <v>-</v>
      </c>
      <c r="AI115" s="1047"/>
      <c r="AJ115" s="1048"/>
      <c r="AK115" s="1048"/>
      <c r="AL115" s="1699" t="str">
        <f t="shared" si="205"/>
        <v>-</v>
      </c>
      <c r="AM115" s="1047"/>
      <c r="AN115" s="1048"/>
      <c r="AO115" s="1048"/>
      <c r="AP115" s="1699" t="str">
        <f t="shared" si="206"/>
        <v>-</v>
      </c>
      <c r="AQ115" s="1047"/>
      <c r="AR115" s="1048"/>
      <c r="AS115" s="1048"/>
      <c r="AT115" s="1699" t="str">
        <f t="shared" si="207"/>
        <v>-</v>
      </c>
      <c r="AU115" s="442"/>
      <c r="AV115" s="442"/>
      <c r="AW115" s="442"/>
      <c r="AX115" s="442"/>
      <c r="AY115" s="442"/>
    </row>
    <row r="116" spans="1:51">
      <c r="A116" s="483">
        <f t="shared" ref="A116:A118" si="208">+A115+1</f>
        <v>99</v>
      </c>
      <c r="B116" s="1781">
        <v>21</v>
      </c>
      <c r="C116" s="1059" t="s">
        <v>1092</v>
      </c>
      <c r="D116" s="860" t="s">
        <v>1191</v>
      </c>
      <c r="E116" s="1060" t="s">
        <v>1273</v>
      </c>
      <c r="F116" s="1073" t="s">
        <v>581</v>
      </c>
      <c r="G116" s="1276">
        <f t="shared" si="195"/>
        <v>0</v>
      </c>
      <c r="H116" s="1277">
        <f t="shared" si="195"/>
        <v>0</v>
      </c>
      <c r="I116" s="1277">
        <f t="shared" si="195"/>
        <v>0</v>
      </c>
      <c r="J116" s="1689" t="str">
        <f t="shared" si="196"/>
        <v>-</v>
      </c>
      <c r="K116" s="1276">
        <f t="shared" si="197"/>
        <v>0</v>
      </c>
      <c r="L116" s="1277">
        <f t="shared" si="197"/>
        <v>0</v>
      </c>
      <c r="M116" s="1277">
        <f t="shared" si="197"/>
        <v>0</v>
      </c>
      <c r="N116" s="1689" t="str">
        <f t="shared" si="198"/>
        <v>-</v>
      </c>
      <c r="O116" s="1047"/>
      <c r="P116" s="1048"/>
      <c r="Q116" s="1048"/>
      <c r="R116" s="1699" t="str">
        <f t="shared" si="199"/>
        <v>-</v>
      </c>
      <c r="S116" s="1047"/>
      <c r="T116" s="1048"/>
      <c r="U116" s="1048"/>
      <c r="V116" s="1699" t="str">
        <f t="shared" si="200"/>
        <v>-</v>
      </c>
      <c r="W116" s="1047"/>
      <c r="X116" s="1048"/>
      <c r="Y116" s="1048"/>
      <c r="Z116" s="1699" t="str">
        <f t="shared" si="201"/>
        <v>-</v>
      </c>
      <c r="AA116" s="1047"/>
      <c r="AB116" s="1048"/>
      <c r="AC116" s="1048"/>
      <c r="AD116" s="1699" t="str">
        <f t="shared" si="202"/>
        <v>-</v>
      </c>
      <c r="AE116" s="1276">
        <f t="shared" si="203"/>
        <v>0</v>
      </c>
      <c r="AF116" s="1277">
        <f t="shared" si="203"/>
        <v>0</v>
      </c>
      <c r="AG116" s="1277">
        <f t="shared" si="203"/>
        <v>0</v>
      </c>
      <c r="AH116" s="1689" t="str">
        <f t="shared" si="204"/>
        <v>-</v>
      </c>
      <c r="AI116" s="1047"/>
      <c r="AJ116" s="1048"/>
      <c r="AK116" s="1048"/>
      <c r="AL116" s="1699" t="str">
        <f t="shared" si="205"/>
        <v>-</v>
      </c>
      <c r="AM116" s="1047"/>
      <c r="AN116" s="1048"/>
      <c r="AO116" s="1048"/>
      <c r="AP116" s="1699" t="str">
        <f t="shared" si="206"/>
        <v>-</v>
      </c>
      <c r="AQ116" s="1047"/>
      <c r="AR116" s="1048"/>
      <c r="AS116" s="1048"/>
      <c r="AT116" s="1699" t="str">
        <f t="shared" si="207"/>
        <v>-</v>
      </c>
      <c r="AU116" s="442"/>
      <c r="AV116" s="442"/>
      <c r="AW116" s="442"/>
      <c r="AX116" s="442"/>
      <c r="AY116" s="442"/>
    </row>
    <row r="117" spans="1:51">
      <c r="A117" s="483">
        <f t="shared" si="208"/>
        <v>100</v>
      </c>
      <c r="B117" s="1781">
        <v>20</v>
      </c>
      <c r="C117" s="1059" t="s">
        <v>1093</v>
      </c>
      <c r="D117" s="860" t="s">
        <v>1094</v>
      </c>
      <c r="E117" s="1060" t="s">
        <v>1274</v>
      </c>
      <c r="F117" s="1073" t="s">
        <v>1095</v>
      </c>
      <c r="G117" s="1276">
        <f t="shared" si="195"/>
        <v>314</v>
      </c>
      <c r="H117" s="1277">
        <f t="shared" si="195"/>
        <v>168</v>
      </c>
      <c r="I117" s="1277">
        <f t="shared" si="195"/>
        <v>168</v>
      </c>
      <c r="J117" s="1689">
        <f t="shared" si="196"/>
        <v>1</v>
      </c>
      <c r="K117" s="1276">
        <f t="shared" si="197"/>
        <v>314</v>
      </c>
      <c r="L117" s="1277">
        <f t="shared" si="197"/>
        <v>168</v>
      </c>
      <c r="M117" s="1277">
        <f t="shared" si="197"/>
        <v>168</v>
      </c>
      <c r="N117" s="1689">
        <f t="shared" si="198"/>
        <v>1</v>
      </c>
      <c r="O117" s="1047"/>
      <c r="P117" s="1048"/>
      <c r="Q117" s="1048"/>
      <c r="R117" s="1699" t="str">
        <f t="shared" si="199"/>
        <v>-</v>
      </c>
      <c r="S117" s="1047"/>
      <c r="T117" s="1048"/>
      <c r="U117" s="1048"/>
      <c r="V117" s="1699" t="str">
        <f t="shared" si="200"/>
        <v>-</v>
      </c>
      <c r="W117" s="1047">
        <v>314</v>
      </c>
      <c r="X117" s="1048">
        <v>168</v>
      </c>
      <c r="Y117" s="1048">
        <v>168</v>
      </c>
      <c r="Z117" s="1699">
        <f t="shared" si="201"/>
        <v>1</v>
      </c>
      <c r="AA117" s="1047"/>
      <c r="AB117" s="1048"/>
      <c r="AC117" s="1048"/>
      <c r="AD117" s="1699" t="str">
        <f t="shared" si="202"/>
        <v>-</v>
      </c>
      <c r="AE117" s="1276">
        <f t="shared" si="203"/>
        <v>0</v>
      </c>
      <c r="AF117" s="1277">
        <f t="shared" si="203"/>
        <v>0</v>
      </c>
      <c r="AG117" s="1277">
        <f t="shared" si="203"/>
        <v>0</v>
      </c>
      <c r="AH117" s="1689" t="str">
        <f t="shared" si="204"/>
        <v>-</v>
      </c>
      <c r="AI117" s="1047"/>
      <c r="AJ117" s="1048"/>
      <c r="AK117" s="1048"/>
      <c r="AL117" s="1699" t="str">
        <f t="shared" si="205"/>
        <v>-</v>
      </c>
      <c r="AM117" s="1047"/>
      <c r="AN117" s="1048"/>
      <c r="AO117" s="1048"/>
      <c r="AP117" s="1699" t="str">
        <f t="shared" si="206"/>
        <v>-</v>
      </c>
      <c r="AQ117" s="1047"/>
      <c r="AR117" s="1048"/>
      <c r="AS117" s="1048"/>
      <c r="AT117" s="1699" t="str">
        <f t="shared" si="207"/>
        <v>-</v>
      </c>
      <c r="AU117" s="442"/>
      <c r="AV117" s="442"/>
      <c r="AW117" s="442"/>
      <c r="AX117" s="442"/>
      <c r="AY117" s="442"/>
    </row>
    <row r="118" spans="1:51" ht="12.75" thickBot="1">
      <c r="A118" s="483">
        <f t="shared" si="208"/>
        <v>101</v>
      </c>
      <c r="B118" s="1781">
        <v>19</v>
      </c>
      <c r="C118" s="1059" t="s">
        <v>1011</v>
      </c>
      <c r="D118" s="860" t="s">
        <v>1012</v>
      </c>
      <c r="E118" s="1060" t="s">
        <v>1257</v>
      </c>
      <c r="F118" s="1073" t="s">
        <v>1089</v>
      </c>
      <c r="G118" s="1276">
        <f t="shared" si="195"/>
        <v>0</v>
      </c>
      <c r="H118" s="1277">
        <f t="shared" si="195"/>
        <v>0</v>
      </c>
      <c r="I118" s="1277">
        <f t="shared" si="195"/>
        <v>0</v>
      </c>
      <c r="J118" s="1689" t="str">
        <f t="shared" si="196"/>
        <v>-</v>
      </c>
      <c r="K118" s="1276">
        <f t="shared" si="197"/>
        <v>0</v>
      </c>
      <c r="L118" s="1277">
        <f t="shared" si="197"/>
        <v>0</v>
      </c>
      <c r="M118" s="1277">
        <f t="shared" si="197"/>
        <v>0</v>
      </c>
      <c r="N118" s="1689" t="str">
        <f t="shared" si="198"/>
        <v>-</v>
      </c>
      <c r="O118" s="1047"/>
      <c r="P118" s="1048"/>
      <c r="Q118" s="1048"/>
      <c r="R118" s="1699" t="str">
        <f t="shared" si="199"/>
        <v>-</v>
      </c>
      <c r="S118" s="1047"/>
      <c r="T118" s="1048"/>
      <c r="U118" s="1048"/>
      <c r="V118" s="1699" t="str">
        <f t="shared" si="200"/>
        <v>-</v>
      </c>
      <c r="W118" s="1047"/>
      <c r="X118" s="1048"/>
      <c r="Y118" s="1048"/>
      <c r="Z118" s="1699" t="str">
        <f t="shared" si="201"/>
        <v>-</v>
      </c>
      <c r="AA118" s="1047"/>
      <c r="AB118" s="1048"/>
      <c r="AC118" s="1048"/>
      <c r="AD118" s="1699" t="str">
        <f t="shared" si="202"/>
        <v>-</v>
      </c>
      <c r="AE118" s="1276">
        <f t="shared" si="203"/>
        <v>0</v>
      </c>
      <c r="AF118" s="1277">
        <f t="shared" si="203"/>
        <v>0</v>
      </c>
      <c r="AG118" s="1277">
        <f t="shared" si="203"/>
        <v>0</v>
      </c>
      <c r="AH118" s="1689" t="str">
        <f t="shared" si="204"/>
        <v>-</v>
      </c>
      <c r="AI118" s="1047"/>
      <c r="AJ118" s="1048"/>
      <c r="AK118" s="1048"/>
      <c r="AL118" s="1699" t="str">
        <f t="shared" si="205"/>
        <v>-</v>
      </c>
      <c r="AM118" s="1047"/>
      <c r="AN118" s="1048"/>
      <c r="AO118" s="1048"/>
      <c r="AP118" s="1699" t="str">
        <f t="shared" si="206"/>
        <v>-</v>
      </c>
      <c r="AQ118" s="1047"/>
      <c r="AR118" s="1048"/>
      <c r="AS118" s="1048"/>
      <c r="AT118" s="1699" t="str">
        <f t="shared" si="207"/>
        <v>-</v>
      </c>
      <c r="AU118" s="442"/>
      <c r="AV118" s="442"/>
      <c r="AW118" s="442"/>
      <c r="AX118" s="442"/>
      <c r="AY118" s="442"/>
    </row>
    <row r="119" spans="1:51" s="440" customFormat="1" ht="12.75" customHeight="1" thickBot="1">
      <c r="A119" s="479" t="s">
        <v>754</v>
      </c>
      <c r="B119" s="1771"/>
      <c r="C119" s="1906" t="s">
        <v>418</v>
      </c>
      <c r="D119" s="1907"/>
      <c r="E119" s="1907"/>
      <c r="F119" s="1908"/>
      <c r="G119" s="469">
        <f>SUM(G113:G118)</f>
        <v>19872</v>
      </c>
      <c r="H119" s="470">
        <f>SUM(H113:H118)</f>
        <v>15271</v>
      </c>
      <c r="I119" s="470">
        <f>SUM(I113:I118)</f>
        <v>14234</v>
      </c>
      <c r="J119" s="1635">
        <f t="shared" si="196"/>
        <v>0.93209351057560086</v>
      </c>
      <c r="K119" s="469">
        <f t="shared" ref="K119" si="209">SUM(K113:K118)</f>
        <v>19872</v>
      </c>
      <c r="L119" s="470">
        <f t="shared" ref="L119:M119" si="210">SUM(L113:L118)</f>
        <v>15271</v>
      </c>
      <c r="M119" s="470">
        <f t="shared" si="210"/>
        <v>14234</v>
      </c>
      <c r="N119" s="1635">
        <f t="shared" si="198"/>
        <v>0.93209351057560086</v>
      </c>
      <c r="O119" s="451">
        <f t="shared" ref="O119:AQ119" si="211">SUM(O113:O118)</f>
        <v>0</v>
      </c>
      <c r="P119" s="321">
        <f t="shared" ref="P119:Q119" si="212">SUM(P113:P118)</f>
        <v>0</v>
      </c>
      <c r="Q119" s="321">
        <f t="shared" si="212"/>
        <v>0</v>
      </c>
      <c r="R119" s="1638" t="str">
        <f t="shared" si="199"/>
        <v>-</v>
      </c>
      <c r="S119" s="451">
        <f t="shared" si="211"/>
        <v>0</v>
      </c>
      <c r="T119" s="321">
        <f t="shared" ref="T119:U119" si="213">SUM(T113:T118)</f>
        <v>0</v>
      </c>
      <c r="U119" s="321">
        <f t="shared" si="213"/>
        <v>0</v>
      </c>
      <c r="V119" s="1638" t="str">
        <f t="shared" si="200"/>
        <v>-</v>
      </c>
      <c r="W119" s="451">
        <f t="shared" si="211"/>
        <v>19872</v>
      </c>
      <c r="X119" s="321">
        <f t="shared" ref="X119:Y119" si="214">SUM(X113:X118)</f>
        <v>15271</v>
      </c>
      <c r="Y119" s="321">
        <f t="shared" si="214"/>
        <v>14234</v>
      </c>
      <c r="Z119" s="1638">
        <f t="shared" si="201"/>
        <v>0.93209351057560086</v>
      </c>
      <c r="AA119" s="451">
        <f t="shared" si="211"/>
        <v>0</v>
      </c>
      <c r="AB119" s="321">
        <f t="shared" ref="AB119:AC119" si="215">SUM(AB113:AB118)</f>
        <v>0</v>
      </c>
      <c r="AC119" s="321">
        <f t="shared" si="215"/>
        <v>0</v>
      </c>
      <c r="AD119" s="1638" t="str">
        <f t="shared" si="202"/>
        <v>-</v>
      </c>
      <c r="AE119" s="469">
        <f t="shared" si="211"/>
        <v>0</v>
      </c>
      <c r="AF119" s="470">
        <f t="shared" ref="AF119:AG119" si="216">SUM(AF113:AF118)</f>
        <v>0</v>
      </c>
      <c r="AG119" s="470">
        <f t="shared" si="216"/>
        <v>0</v>
      </c>
      <c r="AH119" s="1635" t="str">
        <f t="shared" si="204"/>
        <v>-</v>
      </c>
      <c r="AI119" s="451">
        <f t="shared" si="211"/>
        <v>0</v>
      </c>
      <c r="AJ119" s="321">
        <f t="shared" ref="AJ119:AK119" si="217">SUM(AJ113:AJ118)</f>
        <v>0</v>
      </c>
      <c r="AK119" s="321">
        <f t="shared" si="217"/>
        <v>0</v>
      </c>
      <c r="AL119" s="1638" t="str">
        <f t="shared" si="205"/>
        <v>-</v>
      </c>
      <c r="AM119" s="451">
        <f t="shared" si="211"/>
        <v>0</v>
      </c>
      <c r="AN119" s="321">
        <f t="shared" ref="AN119:AO119" si="218">SUM(AN113:AN118)</f>
        <v>0</v>
      </c>
      <c r="AO119" s="321">
        <f t="shared" si="218"/>
        <v>0</v>
      </c>
      <c r="AP119" s="1638" t="str">
        <f t="shared" si="206"/>
        <v>-</v>
      </c>
      <c r="AQ119" s="451">
        <f t="shared" si="211"/>
        <v>0</v>
      </c>
      <c r="AR119" s="321">
        <f t="shared" ref="AR119:AS119" si="219">SUM(AR113:AR118)</f>
        <v>0</v>
      </c>
      <c r="AS119" s="321">
        <f t="shared" si="219"/>
        <v>0</v>
      </c>
      <c r="AT119" s="1638" t="str">
        <f t="shared" si="207"/>
        <v>-</v>
      </c>
      <c r="AU119" s="442"/>
      <c r="AV119" s="442"/>
      <c r="AW119" s="442"/>
      <c r="AX119" s="442"/>
      <c r="AY119" s="442"/>
    </row>
    <row r="120" spans="1:51" s="444" customFormat="1" ht="12.75" customHeight="1" thickBot="1">
      <c r="A120" s="485">
        <f>+A118+1</f>
        <v>102</v>
      </c>
      <c r="B120" s="1785">
        <v>22</v>
      </c>
      <c r="C120" s="834" t="s">
        <v>19</v>
      </c>
      <c r="D120" s="1074" t="s">
        <v>19</v>
      </c>
      <c r="E120" s="829" t="s">
        <v>19</v>
      </c>
      <c r="F120" s="1074" t="s">
        <v>19</v>
      </c>
      <c r="G120" s="1286">
        <f>+K120+AE120</f>
        <v>0</v>
      </c>
      <c r="H120" s="1287">
        <f>+L120+AF120</f>
        <v>0</v>
      </c>
      <c r="I120" s="1287">
        <f>+M120+AG120</f>
        <v>0</v>
      </c>
      <c r="J120" s="1695" t="str">
        <f t="shared" si="196"/>
        <v>-</v>
      </c>
      <c r="K120" s="1286">
        <f>+O120+S120+W120+AA120</f>
        <v>0</v>
      </c>
      <c r="L120" s="1287">
        <f>+P120+T120+X120+AB120</f>
        <v>0</v>
      </c>
      <c r="M120" s="1287">
        <f>+Q120+U120+Y120+AC120</f>
        <v>0</v>
      </c>
      <c r="N120" s="1695" t="str">
        <f t="shared" si="198"/>
        <v>-</v>
      </c>
      <c r="O120" s="448"/>
      <c r="P120" s="447"/>
      <c r="Q120" s="447"/>
      <c r="R120" s="1702" t="str">
        <f t="shared" si="199"/>
        <v>-</v>
      </c>
      <c r="S120" s="448"/>
      <c r="T120" s="447"/>
      <c r="U120" s="447"/>
      <c r="V120" s="1702" t="str">
        <f t="shared" si="200"/>
        <v>-</v>
      </c>
      <c r="W120" s="448"/>
      <c r="X120" s="447"/>
      <c r="Y120" s="447"/>
      <c r="Z120" s="1702" t="str">
        <f t="shared" si="201"/>
        <v>-</v>
      </c>
      <c r="AA120" s="448"/>
      <c r="AB120" s="447"/>
      <c r="AC120" s="447"/>
      <c r="AD120" s="1702" t="str">
        <f t="shared" si="202"/>
        <v>-</v>
      </c>
      <c r="AE120" s="1286">
        <f>+AI120+AM120+AQ120</f>
        <v>0</v>
      </c>
      <c r="AF120" s="1287">
        <f>+AJ120+AN120+AR120</f>
        <v>0</v>
      </c>
      <c r="AG120" s="1287">
        <f>+AK120+AO120+AS120</f>
        <v>0</v>
      </c>
      <c r="AH120" s="1695" t="str">
        <f t="shared" si="204"/>
        <v>-</v>
      </c>
      <c r="AI120" s="448"/>
      <c r="AJ120" s="447"/>
      <c r="AK120" s="447"/>
      <c r="AL120" s="1702" t="str">
        <f t="shared" si="205"/>
        <v>-</v>
      </c>
      <c r="AM120" s="448"/>
      <c r="AN120" s="447"/>
      <c r="AO120" s="447"/>
      <c r="AP120" s="1702" t="str">
        <f t="shared" si="206"/>
        <v>-</v>
      </c>
      <c r="AQ120" s="448"/>
      <c r="AR120" s="447"/>
      <c r="AS120" s="447"/>
      <c r="AT120" s="1702" t="str">
        <f t="shared" si="207"/>
        <v>-</v>
      </c>
      <c r="AU120" s="442"/>
      <c r="AV120" s="442"/>
      <c r="AW120" s="442"/>
      <c r="AX120" s="442"/>
      <c r="AY120" s="442"/>
    </row>
    <row r="121" spans="1:51" s="440" customFormat="1" ht="12.75" customHeight="1" thickBot="1">
      <c r="A121" s="766" t="s">
        <v>755</v>
      </c>
      <c r="B121" s="1771"/>
      <c r="C121" s="1906" t="s">
        <v>419</v>
      </c>
      <c r="D121" s="1907"/>
      <c r="E121" s="1907"/>
      <c r="F121" s="1908"/>
      <c r="G121" s="469">
        <f>SUM(G120)</f>
        <v>0</v>
      </c>
      <c r="H121" s="470">
        <f>SUM(H120)</f>
        <v>0</v>
      </c>
      <c r="I121" s="470">
        <f>SUM(I120)</f>
        <v>0</v>
      </c>
      <c r="J121" s="1635" t="str">
        <f t="shared" si="196"/>
        <v>-</v>
      </c>
      <c r="K121" s="469">
        <f t="shared" ref="K121" si="220">SUM(K120)</f>
        <v>0</v>
      </c>
      <c r="L121" s="470">
        <f t="shared" ref="L121:M121" si="221">SUM(L120)</f>
        <v>0</v>
      </c>
      <c r="M121" s="470">
        <f t="shared" si="221"/>
        <v>0</v>
      </c>
      <c r="N121" s="1635" t="str">
        <f t="shared" si="198"/>
        <v>-</v>
      </c>
      <c r="O121" s="451">
        <f t="shared" ref="O121:AQ121" si="222">SUM(O120)</f>
        <v>0</v>
      </c>
      <c r="P121" s="321">
        <f t="shared" ref="P121:Q121" si="223">SUM(P120)</f>
        <v>0</v>
      </c>
      <c r="Q121" s="321">
        <f t="shared" si="223"/>
        <v>0</v>
      </c>
      <c r="R121" s="1638" t="str">
        <f t="shared" si="199"/>
        <v>-</v>
      </c>
      <c r="S121" s="451">
        <f t="shared" si="222"/>
        <v>0</v>
      </c>
      <c r="T121" s="321">
        <f t="shared" ref="T121:U121" si="224">SUM(T120)</f>
        <v>0</v>
      </c>
      <c r="U121" s="321">
        <f t="shared" si="224"/>
        <v>0</v>
      </c>
      <c r="V121" s="1638" t="str">
        <f t="shared" si="200"/>
        <v>-</v>
      </c>
      <c r="W121" s="451">
        <f t="shared" si="222"/>
        <v>0</v>
      </c>
      <c r="X121" s="321">
        <f t="shared" ref="X121:Y121" si="225">SUM(X120)</f>
        <v>0</v>
      </c>
      <c r="Y121" s="321">
        <f t="shared" si="225"/>
        <v>0</v>
      </c>
      <c r="Z121" s="1638" t="str">
        <f t="shared" si="201"/>
        <v>-</v>
      </c>
      <c r="AA121" s="451">
        <f t="shared" si="222"/>
        <v>0</v>
      </c>
      <c r="AB121" s="321">
        <f t="shared" ref="AB121:AC121" si="226">SUM(AB120)</f>
        <v>0</v>
      </c>
      <c r="AC121" s="321">
        <f t="shared" si="226"/>
        <v>0</v>
      </c>
      <c r="AD121" s="1638" t="str">
        <f t="shared" si="202"/>
        <v>-</v>
      </c>
      <c r="AE121" s="469">
        <f t="shared" si="222"/>
        <v>0</v>
      </c>
      <c r="AF121" s="470">
        <f t="shared" ref="AF121:AG121" si="227">SUM(AF120)</f>
        <v>0</v>
      </c>
      <c r="AG121" s="470">
        <f t="shared" si="227"/>
        <v>0</v>
      </c>
      <c r="AH121" s="1635" t="str">
        <f t="shared" si="204"/>
        <v>-</v>
      </c>
      <c r="AI121" s="451">
        <f t="shared" si="222"/>
        <v>0</v>
      </c>
      <c r="AJ121" s="321">
        <f t="shared" ref="AJ121:AK121" si="228">SUM(AJ120)</f>
        <v>0</v>
      </c>
      <c r="AK121" s="321">
        <f t="shared" si="228"/>
        <v>0</v>
      </c>
      <c r="AL121" s="1638" t="str">
        <f t="shared" si="205"/>
        <v>-</v>
      </c>
      <c r="AM121" s="451">
        <f t="shared" si="222"/>
        <v>0</v>
      </c>
      <c r="AN121" s="321">
        <f t="shared" ref="AN121:AO121" si="229">SUM(AN120)</f>
        <v>0</v>
      </c>
      <c r="AO121" s="321">
        <f t="shared" si="229"/>
        <v>0</v>
      </c>
      <c r="AP121" s="1638" t="str">
        <f t="shared" si="206"/>
        <v>-</v>
      </c>
      <c r="AQ121" s="451">
        <f t="shared" si="222"/>
        <v>0</v>
      </c>
      <c r="AR121" s="321">
        <f t="shared" ref="AR121:AS121" si="230">SUM(AR120)</f>
        <v>0</v>
      </c>
      <c r="AS121" s="321">
        <f t="shared" si="230"/>
        <v>0</v>
      </c>
      <c r="AT121" s="1638" t="str">
        <f t="shared" si="207"/>
        <v>-</v>
      </c>
      <c r="AU121" s="442"/>
      <c r="AV121" s="442"/>
      <c r="AW121" s="442"/>
      <c r="AX121" s="442"/>
      <c r="AY121" s="442"/>
    </row>
    <row r="122" spans="1:51" s="444" customFormat="1" ht="12.75" customHeight="1" thickBot="1">
      <c r="A122" s="485">
        <f>+A120+1</f>
        <v>103</v>
      </c>
      <c r="B122" s="1785">
        <v>23</v>
      </c>
      <c r="C122" s="834" t="s">
        <v>19</v>
      </c>
      <c r="D122" s="1074" t="s">
        <v>19</v>
      </c>
      <c r="E122" s="829" t="s">
        <v>19</v>
      </c>
      <c r="F122" s="1074" t="s">
        <v>19</v>
      </c>
      <c r="G122" s="1286">
        <f>+K122+AE122</f>
        <v>0</v>
      </c>
      <c r="H122" s="1287">
        <f>+L122+AF122</f>
        <v>0</v>
      </c>
      <c r="I122" s="1287">
        <f>+M122+AG122</f>
        <v>0</v>
      </c>
      <c r="J122" s="1695" t="str">
        <f t="shared" si="196"/>
        <v>-</v>
      </c>
      <c r="K122" s="1286">
        <f>+O122+S122+W122+AA122</f>
        <v>0</v>
      </c>
      <c r="L122" s="1287">
        <f>+P122+T122+X122+AB122</f>
        <v>0</v>
      </c>
      <c r="M122" s="1287">
        <f>+Q122+U122+Y122+AC122</f>
        <v>0</v>
      </c>
      <c r="N122" s="1695" t="str">
        <f t="shared" si="198"/>
        <v>-</v>
      </c>
      <c r="O122" s="448"/>
      <c r="P122" s="447"/>
      <c r="Q122" s="447"/>
      <c r="R122" s="1702" t="str">
        <f t="shared" si="199"/>
        <v>-</v>
      </c>
      <c r="S122" s="448"/>
      <c r="T122" s="447"/>
      <c r="U122" s="447"/>
      <c r="V122" s="1702" t="str">
        <f t="shared" si="200"/>
        <v>-</v>
      </c>
      <c r="W122" s="448"/>
      <c r="X122" s="447"/>
      <c r="Y122" s="447"/>
      <c r="Z122" s="1702" t="str">
        <f t="shared" si="201"/>
        <v>-</v>
      </c>
      <c r="AA122" s="448"/>
      <c r="AB122" s="447"/>
      <c r="AC122" s="447"/>
      <c r="AD122" s="1702" t="str">
        <f t="shared" si="202"/>
        <v>-</v>
      </c>
      <c r="AE122" s="1286">
        <f>+AI122+AM122+AQ122</f>
        <v>0</v>
      </c>
      <c r="AF122" s="1287">
        <f>+AJ122+AN122+AR122</f>
        <v>0</v>
      </c>
      <c r="AG122" s="1287">
        <f>+AK122+AO122+AS122</f>
        <v>0</v>
      </c>
      <c r="AH122" s="1695" t="str">
        <f t="shared" si="204"/>
        <v>-</v>
      </c>
      <c r="AI122" s="448"/>
      <c r="AJ122" s="447"/>
      <c r="AK122" s="447"/>
      <c r="AL122" s="1702" t="str">
        <f t="shared" si="205"/>
        <v>-</v>
      </c>
      <c r="AM122" s="448"/>
      <c r="AN122" s="447"/>
      <c r="AO122" s="447"/>
      <c r="AP122" s="1702" t="str">
        <f t="shared" si="206"/>
        <v>-</v>
      </c>
      <c r="AQ122" s="448"/>
      <c r="AR122" s="447"/>
      <c r="AS122" s="447"/>
      <c r="AT122" s="1702" t="str">
        <f t="shared" si="207"/>
        <v>-</v>
      </c>
      <c r="AU122" s="442"/>
      <c r="AV122" s="442"/>
      <c r="AW122" s="442"/>
      <c r="AX122" s="442"/>
      <c r="AY122" s="442"/>
    </row>
    <row r="123" spans="1:51" s="440" customFormat="1" ht="12.75" customHeight="1" thickBot="1">
      <c r="A123" s="479" t="s">
        <v>756</v>
      </c>
      <c r="B123" s="1771"/>
      <c r="C123" s="1906" t="s">
        <v>773</v>
      </c>
      <c r="D123" s="1907"/>
      <c r="E123" s="1907"/>
      <c r="F123" s="1908"/>
      <c r="G123" s="469">
        <f>SUM(G122)</f>
        <v>0</v>
      </c>
      <c r="H123" s="470">
        <f>SUM(H122)</f>
        <v>0</v>
      </c>
      <c r="I123" s="470">
        <f>SUM(I122)</f>
        <v>0</v>
      </c>
      <c r="J123" s="1635" t="str">
        <f t="shared" si="196"/>
        <v>-</v>
      </c>
      <c r="K123" s="469">
        <f t="shared" ref="K123" si="231">SUM(K122)</f>
        <v>0</v>
      </c>
      <c r="L123" s="470">
        <f t="shared" ref="L123:M123" si="232">SUM(L122)</f>
        <v>0</v>
      </c>
      <c r="M123" s="470">
        <f t="shared" si="232"/>
        <v>0</v>
      </c>
      <c r="N123" s="1635" t="str">
        <f t="shared" si="198"/>
        <v>-</v>
      </c>
      <c r="O123" s="451">
        <f t="shared" ref="O123:AQ123" si="233">SUM(O122)</f>
        <v>0</v>
      </c>
      <c r="P123" s="321">
        <f t="shared" ref="P123:Q123" si="234">SUM(P122)</f>
        <v>0</v>
      </c>
      <c r="Q123" s="321">
        <f t="shared" si="234"/>
        <v>0</v>
      </c>
      <c r="R123" s="1638" t="str">
        <f t="shared" si="199"/>
        <v>-</v>
      </c>
      <c r="S123" s="451">
        <f t="shared" si="233"/>
        <v>0</v>
      </c>
      <c r="T123" s="321">
        <f t="shared" ref="T123:U123" si="235">SUM(T122)</f>
        <v>0</v>
      </c>
      <c r="U123" s="321">
        <f t="shared" si="235"/>
        <v>0</v>
      </c>
      <c r="V123" s="1638" t="str">
        <f t="shared" si="200"/>
        <v>-</v>
      </c>
      <c r="W123" s="451">
        <f t="shared" si="233"/>
        <v>0</v>
      </c>
      <c r="X123" s="321">
        <f t="shared" ref="X123:Y123" si="236">SUM(X122)</f>
        <v>0</v>
      </c>
      <c r="Y123" s="321">
        <f t="shared" si="236"/>
        <v>0</v>
      </c>
      <c r="Z123" s="1638" t="str">
        <f t="shared" si="201"/>
        <v>-</v>
      </c>
      <c r="AA123" s="451">
        <f t="shared" si="233"/>
        <v>0</v>
      </c>
      <c r="AB123" s="321">
        <f t="shared" ref="AB123:AC123" si="237">SUM(AB122)</f>
        <v>0</v>
      </c>
      <c r="AC123" s="321">
        <f t="shared" si="237"/>
        <v>0</v>
      </c>
      <c r="AD123" s="1638" t="str">
        <f t="shared" si="202"/>
        <v>-</v>
      </c>
      <c r="AE123" s="469">
        <f t="shared" si="233"/>
        <v>0</v>
      </c>
      <c r="AF123" s="470">
        <f t="shared" ref="AF123:AG123" si="238">SUM(AF122)</f>
        <v>0</v>
      </c>
      <c r="AG123" s="470">
        <f t="shared" si="238"/>
        <v>0</v>
      </c>
      <c r="AH123" s="1635" t="str">
        <f t="shared" si="204"/>
        <v>-</v>
      </c>
      <c r="AI123" s="451">
        <f t="shared" si="233"/>
        <v>0</v>
      </c>
      <c r="AJ123" s="321">
        <f t="shared" ref="AJ123:AK123" si="239">SUM(AJ122)</f>
        <v>0</v>
      </c>
      <c r="AK123" s="321">
        <f t="shared" si="239"/>
        <v>0</v>
      </c>
      <c r="AL123" s="1638" t="str">
        <f t="shared" si="205"/>
        <v>-</v>
      </c>
      <c r="AM123" s="451">
        <f t="shared" si="233"/>
        <v>0</v>
      </c>
      <c r="AN123" s="321">
        <f t="shared" ref="AN123:AO123" si="240">SUM(AN122)</f>
        <v>0</v>
      </c>
      <c r="AO123" s="321">
        <f t="shared" si="240"/>
        <v>0</v>
      </c>
      <c r="AP123" s="1638" t="str">
        <f t="shared" si="206"/>
        <v>-</v>
      </c>
      <c r="AQ123" s="451">
        <f t="shared" si="233"/>
        <v>0</v>
      </c>
      <c r="AR123" s="321">
        <f t="shared" ref="AR123:AS123" si="241">SUM(AR122)</f>
        <v>0</v>
      </c>
      <c r="AS123" s="321">
        <f t="shared" si="241"/>
        <v>0</v>
      </c>
      <c r="AT123" s="1638" t="str">
        <f t="shared" si="207"/>
        <v>-</v>
      </c>
      <c r="AU123" s="442"/>
      <c r="AV123" s="442"/>
      <c r="AW123" s="442"/>
      <c r="AX123" s="442"/>
      <c r="AY123" s="442"/>
    </row>
    <row r="124" spans="1:51" s="440" customFormat="1" ht="12.75" customHeight="1" thickBot="1">
      <c r="A124" s="480" t="s">
        <v>21</v>
      </c>
      <c r="B124" s="1782"/>
      <c r="C124" s="1900" t="s">
        <v>420</v>
      </c>
      <c r="D124" s="1901"/>
      <c r="E124" s="1901"/>
      <c r="F124" s="1902"/>
      <c r="G124" s="453">
        <f>+G119+G121+G123</f>
        <v>19872</v>
      </c>
      <c r="H124" s="454">
        <f>+H119+H121+H123</f>
        <v>15271</v>
      </c>
      <c r="I124" s="454">
        <f>+I119+I121+I123</f>
        <v>14234</v>
      </c>
      <c r="J124" s="1692">
        <f t="shared" si="196"/>
        <v>0.93209351057560086</v>
      </c>
      <c r="K124" s="453">
        <f t="shared" ref="K124" si="242">+K119+K121+K123</f>
        <v>19872</v>
      </c>
      <c r="L124" s="454">
        <f t="shared" ref="L124:M124" si="243">+L119+L121+L123</f>
        <v>15271</v>
      </c>
      <c r="M124" s="454">
        <f t="shared" si="243"/>
        <v>14234</v>
      </c>
      <c r="N124" s="1692">
        <f t="shared" si="198"/>
        <v>0.93209351057560086</v>
      </c>
      <c r="O124" s="463">
        <f t="shared" ref="O124:AQ124" si="244">+O119+O121+O123</f>
        <v>0</v>
      </c>
      <c r="P124" s="464">
        <f t="shared" ref="P124:Q124" si="245">+P119+P121+P123</f>
        <v>0</v>
      </c>
      <c r="Q124" s="464">
        <f t="shared" si="245"/>
        <v>0</v>
      </c>
      <c r="R124" s="1696" t="str">
        <f t="shared" si="199"/>
        <v>-</v>
      </c>
      <c r="S124" s="463">
        <f t="shared" si="244"/>
        <v>0</v>
      </c>
      <c r="T124" s="464">
        <f t="shared" ref="T124:U124" si="246">+T119+T121+T123</f>
        <v>0</v>
      </c>
      <c r="U124" s="464">
        <f t="shared" si="246"/>
        <v>0</v>
      </c>
      <c r="V124" s="1696" t="str">
        <f t="shared" si="200"/>
        <v>-</v>
      </c>
      <c r="W124" s="463">
        <f t="shared" si="244"/>
        <v>19872</v>
      </c>
      <c r="X124" s="464">
        <f t="shared" ref="X124:Y124" si="247">+X119+X121+X123</f>
        <v>15271</v>
      </c>
      <c r="Y124" s="464">
        <f t="shared" si="247"/>
        <v>14234</v>
      </c>
      <c r="Z124" s="1696">
        <f t="shared" si="201"/>
        <v>0.93209351057560086</v>
      </c>
      <c r="AA124" s="463">
        <f t="shared" si="244"/>
        <v>0</v>
      </c>
      <c r="AB124" s="464">
        <f t="shared" ref="AB124:AC124" si="248">+AB119+AB121+AB123</f>
        <v>0</v>
      </c>
      <c r="AC124" s="464">
        <f t="shared" si="248"/>
        <v>0</v>
      </c>
      <c r="AD124" s="1696" t="str">
        <f t="shared" si="202"/>
        <v>-</v>
      </c>
      <c r="AE124" s="453">
        <f t="shared" si="244"/>
        <v>0</v>
      </c>
      <c r="AF124" s="454">
        <f t="shared" ref="AF124:AG124" si="249">+AF119+AF121+AF123</f>
        <v>0</v>
      </c>
      <c r="AG124" s="454">
        <f t="shared" si="249"/>
        <v>0</v>
      </c>
      <c r="AH124" s="1692" t="str">
        <f t="shared" si="204"/>
        <v>-</v>
      </c>
      <c r="AI124" s="463">
        <f t="shared" si="244"/>
        <v>0</v>
      </c>
      <c r="AJ124" s="464">
        <f t="shared" ref="AJ124:AK124" si="250">+AJ119+AJ121+AJ123</f>
        <v>0</v>
      </c>
      <c r="AK124" s="464">
        <f t="shared" si="250"/>
        <v>0</v>
      </c>
      <c r="AL124" s="1696" t="str">
        <f t="shared" si="205"/>
        <v>-</v>
      </c>
      <c r="AM124" s="463">
        <f t="shared" si="244"/>
        <v>0</v>
      </c>
      <c r="AN124" s="464">
        <f t="shared" ref="AN124:AO124" si="251">+AN119+AN121+AN123</f>
        <v>0</v>
      </c>
      <c r="AO124" s="464">
        <f t="shared" si="251"/>
        <v>0</v>
      </c>
      <c r="AP124" s="1696" t="str">
        <f t="shared" si="206"/>
        <v>-</v>
      </c>
      <c r="AQ124" s="463">
        <f t="shared" si="244"/>
        <v>0</v>
      </c>
      <c r="AR124" s="464">
        <f t="shared" ref="AR124:AS124" si="252">+AR119+AR121+AR123</f>
        <v>0</v>
      </c>
      <c r="AS124" s="464">
        <f t="shared" si="252"/>
        <v>0</v>
      </c>
      <c r="AT124" s="1696" t="str">
        <f t="shared" si="207"/>
        <v>-</v>
      </c>
      <c r="AU124" s="442"/>
      <c r="AV124" s="442"/>
      <c r="AW124" s="442"/>
      <c r="AX124" s="442"/>
      <c r="AY124" s="442"/>
    </row>
    <row r="125" spans="1:51" s="440" customFormat="1" ht="12.75" thickBot="1">
      <c r="A125" s="479"/>
      <c r="B125" s="1775"/>
      <c r="C125" s="833"/>
      <c r="D125" s="478"/>
      <c r="E125" s="828"/>
      <c r="F125" s="450"/>
      <c r="G125" s="469"/>
      <c r="H125" s="470"/>
      <c r="I125" s="470"/>
      <c r="J125" s="1635"/>
      <c r="K125" s="469"/>
      <c r="L125" s="470"/>
      <c r="M125" s="470"/>
      <c r="N125" s="1635"/>
      <c r="O125" s="451"/>
      <c r="P125" s="321"/>
      <c r="Q125" s="321"/>
      <c r="R125" s="1638"/>
      <c r="S125" s="451"/>
      <c r="T125" s="321"/>
      <c r="U125" s="321"/>
      <c r="V125" s="1638"/>
      <c r="W125" s="451"/>
      <c r="X125" s="321"/>
      <c r="Y125" s="321"/>
      <c r="Z125" s="1638"/>
      <c r="AA125" s="451"/>
      <c r="AB125" s="321"/>
      <c r="AC125" s="321"/>
      <c r="AD125" s="1638"/>
      <c r="AE125" s="469"/>
      <c r="AF125" s="470"/>
      <c r="AG125" s="470"/>
      <c r="AH125" s="1635"/>
      <c r="AI125" s="451"/>
      <c r="AJ125" s="321"/>
      <c r="AK125" s="321"/>
      <c r="AL125" s="1638"/>
      <c r="AM125" s="451"/>
      <c r="AN125" s="321"/>
      <c r="AO125" s="321"/>
      <c r="AP125" s="1638"/>
      <c r="AQ125" s="451"/>
      <c r="AR125" s="321"/>
      <c r="AS125" s="321"/>
      <c r="AT125" s="1638"/>
      <c r="AU125" s="442"/>
      <c r="AV125" s="442"/>
      <c r="AW125" s="442"/>
      <c r="AX125" s="442"/>
      <c r="AY125" s="442"/>
    </row>
    <row r="126" spans="1:51">
      <c r="A126" s="483">
        <f>+A122+1</f>
        <v>104</v>
      </c>
      <c r="B126" s="1781">
        <v>24</v>
      </c>
      <c r="C126" s="1059" t="s">
        <v>1098</v>
      </c>
      <c r="D126" s="860" t="s">
        <v>1099</v>
      </c>
      <c r="E126" s="1060" t="s">
        <v>1257</v>
      </c>
      <c r="F126" s="1073" t="s">
        <v>1099</v>
      </c>
      <c r="G126" s="1276">
        <f t="shared" ref="G126:I130" si="253">+K126+AE126</f>
        <v>0</v>
      </c>
      <c r="H126" s="1277">
        <f t="shared" si="253"/>
        <v>0</v>
      </c>
      <c r="I126" s="1277">
        <f t="shared" si="253"/>
        <v>0</v>
      </c>
      <c r="J126" s="1689" t="str">
        <f t="shared" ref="J126:J136" si="254">IF(ISERROR(I126/H126),"-",I126/H126)</f>
        <v>-</v>
      </c>
      <c r="K126" s="1276">
        <f t="shared" ref="K126:M130" si="255">+O126+S126+W126+AA126</f>
        <v>0</v>
      </c>
      <c r="L126" s="1277">
        <f t="shared" si="255"/>
        <v>0</v>
      </c>
      <c r="M126" s="1277">
        <f t="shared" si="255"/>
        <v>0</v>
      </c>
      <c r="N126" s="1689" t="str">
        <f t="shared" ref="N126:N136" si="256">IF(ISERROR(M126/L126),"-",M126/L126)</f>
        <v>-</v>
      </c>
      <c r="O126" s="1047"/>
      <c r="P126" s="1048"/>
      <c r="Q126" s="1048"/>
      <c r="R126" s="1699" t="str">
        <f t="shared" ref="R126:R136" si="257">IF(ISERROR(Q126/P126),"-",Q126/P126)</f>
        <v>-</v>
      </c>
      <c r="S126" s="1047"/>
      <c r="T126" s="1048"/>
      <c r="U126" s="1048"/>
      <c r="V126" s="1699" t="str">
        <f t="shared" ref="V126:V136" si="258">IF(ISERROR(U126/T126),"-",U126/T126)</f>
        <v>-</v>
      </c>
      <c r="W126" s="1047"/>
      <c r="X126" s="1048"/>
      <c r="Y126" s="1048"/>
      <c r="Z126" s="1699" t="str">
        <f t="shared" ref="Z126:Z136" si="259">IF(ISERROR(Y126/X126),"-",Y126/X126)</f>
        <v>-</v>
      </c>
      <c r="AA126" s="1047"/>
      <c r="AB126" s="1048"/>
      <c r="AC126" s="1048"/>
      <c r="AD126" s="1699" t="str">
        <f t="shared" ref="AD126:AD136" si="260">IF(ISERROR(AC126/AB126),"-",AC126/AB126)</f>
        <v>-</v>
      </c>
      <c r="AE126" s="1276">
        <f t="shared" ref="AE126:AG130" si="261">+AI126+AM126+AQ126</f>
        <v>0</v>
      </c>
      <c r="AF126" s="1277">
        <f t="shared" si="261"/>
        <v>0</v>
      </c>
      <c r="AG126" s="1277">
        <f t="shared" si="261"/>
        <v>0</v>
      </c>
      <c r="AH126" s="1689" t="str">
        <f t="shared" ref="AH126:AH136" si="262">IF(ISERROR(AG126/AF126),"-",AG126/AF126)</f>
        <v>-</v>
      </c>
      <c r="AI126" s="1047"/>
      <c r="AJ126" s="1048"/>
      <c r="AK126" s="1048"/>
      <c r="AL126" s="1699" t="str">
        <f t="shared" ref="AL126:AL136" si="263">IF(ISERROR(AK126/AJ126),"-",AK126/AJ126)</f>
        <v>-</v>
      </c>
      <c r="AM126" s="1047"/>
      <c r="AN126" s="1048"/>
      <c r="AO126" s="1048"/>
      <c r="AP126" s="1699" t="str">
        <f t="shared" ref="AP126:AP136" si="264">IF(ISERROR(AO126/AN126),"-",AO126/AN126)</f>
        <v>-</v>
      </c>
      <c r="AQ126" s="1047"/>
      <c r="AR126" s="1048"/>
      <c r="AS126" s="1048"/>
      <c r="AT126" s="1699" t="str">
        <f t="shared" ref="AT126:AT136" si="265">IF(ISERROR(AS126/AR126),"-",AS126/AR126)</f>
        <v>-</v>
      </c>
      <c r="AU126" s="442"/>
      <c r="AV126" s="442"/>
      <c r="AW126" s="442"/>
      <c r="AX126" s="442"/>
      <c r="AY126" s="442"/>
    </row>
    <row r="127" spans="1:51">
      <c r="A127" s="483">
        <f>+A126+1</f>
        <v>105</v>
      </c>
      <c r="B127" s="1781">
        <v>25</v>
      </c>
      <c r="C127" s="1059" t="s">
        <v>1101</v>
      </c>
      <c r="D127" s="860" t="s">
        <v>1100</v>
      </c>
      <c r="E127" s="1060" t="s">
        <v>1257</v>
      </c>
      <c r="F127" s="1073" t="s">
        <v>1100</v>
      </c>
      <c r="G127" s="1276">
        <f t="shared" si="253"/>
        <v>400</v>
      </c>
      <c r="H127" s="1277">
        <f t="shared" si="253"/>
        <v>566</v>
      </c>
      <c r="I127" s="1277">
        <f t="shared" si="253"/>
        <v>566</v>
      </c>
      <c r="J127" s="1689">
        <f t="shared" si="254"/>
        <v>1</v>
      </c>
      <c r="K127" s="1276">
        <f t="shared" si="255"/>
        <v>400</v>
      </c>
      <c r="L127" s="1277">
        <f t="shared" si="255"/>
        <v>566</v>
      </c>
      <c r="M127" s="1277">
        <f t="shared" si="255"/>
        <v>566</v>
      </c>
      <c r="N127" s="1689">
        <f t="shared" si="256"/>
        <v>1</v>
      </c>
      <c r="O127" s="1047"/>
      <c r="P127" s="1048"/>
      <c r="Q127" s="1048"/>
      <c r="R127" s="1699" t="str">
        <f t="shared" si="257"/>
        <v>-</v>
      </c>
      <c r="S127" s="1047"/>
      <c r="T127" s="1048"/>
      <c r="U127" s="1048"/>
      <c r="V127" s="1699" t="str">
        <f t="shared" si="258"/>
        <v>-</v>
      </c>
      <c r="W127" s="1047">
        <v>400</v>
      </c>
      <c r="X127" s="1048">
        <v>566</v>
      </c>
      <c r="Y127" s="1048">
        <v>566</v>
      </c>
      <c r="Z127" s="1699">
        <f t="shared" si="259"/>
        <v>1</v>
      </c>
      <c r="AA127" s="1047"/>
      <c r="AB127" s="1048"/>
      <c r="AC127" s="1048"/>
      <c r="AD127" s="1699" t="str">
        <f t="shared" si="260"/>
        <v>-</v>
      </c>
      <c r="AE127" s="1276">
        <f t="shared" si="261"/>
        <v>0</v>
      </c>
      <c r="AF127" s="1277">
        <f t="shared" si="261"/>
        <v>0</v>
      </c>
      <c r="AG127" s="1277">
        <f t="shared" si="261"/>
        <v>0</v>
      </c>
      <c r="AH127" s="1689" t="str">
        <f t="shared" si="262"/>
        <v>-</v>
      </c>
      <c r="AI127" s="1047"/>
      <c r="AJ127" s="1048"/>
      <c r="AK127" s="1048"/>
      <c r="AL127" s="1699" t="str">
        <f t="shared" si="263"/>
        <v>-</v>
      </c>
      <c r="AM127" s="1047"/>
      <c r="AN127" s="1048"/>
      <c r="AO127" s="1048"/>
      <c r="AP127" s="1699" t="str">
        <f t="shared" si="264"/>
        <v>-</v>
      </c>
      <c r="AQ127" s="1047"/>
      <c r="AR127" s="1048"/>
      <c r="AS127" s="1048"/>
      <c r="AT127" s="1699" t="str">
        <f t="shared" si="265"/>
        <v>-</v>
      </c>
      <c r="AU127" s="442"/>
      <c r="AV127" s="442"/>
      <c r="AW127" s="442"/>
      <c r="AX127" s="442"/>
      <c r="AY127" s="442"/>
    </row>
    <row r="128" spans="1:51">
      <c r="A128" s="483">
        <f t="shared" ref="A128:A130" si="266">+A127+1</f>
        <v>106</v>
      </c>
      <c r="B128" s="1781">
        <v>26</v>
      </c>
      <c r="C128" s="1059" t="s">
        <v>1103</v>
      </c>
      <c r="D128" s="860" t="s">
        <v>1102</v>
      </c>
      <c r="E128" s="1060" t="s">
        <v>1275</v>
      </c>
      <c r="F128" s="1073" t="s">
        <v>1106</v>
      </c>
      <c r="G128" s="1276">
        <f t="shared" si="253"/>
        <v>100</v>
      </c>
      <c r="H128" s="1277">
        <f t="shared" si="253"/>
        <v>910</v>
      </c>
      <c r="I128" s="1277">
        <f t="shared" si="253"/>
        <v>910</v>
      </c>
      <c r="J128" s="1689">
        <f t="shared" si="254"/>
        <v>1</v>
      </c>
      <c r="K128" s="1276">
        <f t="shared" si="255"/>
        <v>100</v>
      </c>
      <c r="L128" s="1277">
        <f t="shared" si="255"/>
        <v>910</v>
      </c>
      <c r="M128" s="1277">
        <f t="shared" si="255"/>
        <v>910</v>
      </c>
      <c r="N128" s="1689">
        <f t="shared" si="256"/>
        <v>1</v>
      </c>
      <c r="O128" s="1047"/>
      <c r="P128" s="1048">
        <v>800</v>
      </c>
      <c r="Q128" s="1048">
        <v>800</v>
      </c>
      <c r="R128" s="1699">
        <f t="shared" si="257"/>
        <v>1</v>
      </c>
      <c r="S128" s="1047"/>
      <c r="T128" s="1048"/>
      <c r="U128" s="1048"/>
      <c r="V128" s="1699" t="str">
        <f t="shared" si="258"/>
        <v>-</v>
      </c>
      <c r="W128" s="1047">
        <v>100</v>
      </c>
      <c r="X128" s="1048">
        <v>110</v>
      </c>
      <c r="Y128" s="1048">
        <v>110</v>
      </c>
      <c r="Z128" s="1699">
        <f t="shared" si="259"/>
        <v>1</v>
      </c>
      <c r="AA128" s="1047"/>
      <c r="AB128" s="1048"/>
      <c r="AC128" s="1048"/>
      <c r="AD128" s="1699" t="str">
        <f t="shared" si="260"/>
        <v>-</v>
      </c>
      <c r="AE128" s="1276">
        <f t="shared" si="261"/>
        <v>0</v>
      </c>
      <c r="AF128" s="1277">
        <f t="shared" si="261"/>
        <v>0</v>
      </c>
      <c r="AG128" s="1277">
        <f t="shared" si="261"/>
        <v>0</v>
      </c>
      <c r="AH128" s="1689" t="str">
        <f t="shared" si="262"/>
        <v>-</v>
      </c>
      <c r="AI128" s="1047"/>
      <c r="AJ128" s="1048"/>
      <c r="AK128" s="1048"/>
      <c r="AL128" s="1699" t="str">
        <f t="shared" si="263"/>
        <v>-</v>
      </c>
      <c r="AM128" s="1047"/>
      <c r="AN128" s="1048"/>
      <c r="AO128" s="1048"/>
      <c r="AP128" s="1699" t="str">
        <f t="shared" si="264"/>
        <v>-</v>
      </c>
      <c r="AQ128" s="1047"/>
      <c r="AR128" s="1048"/>
      <c r="AS128" s="1048"/>
      <c r="AT128" s="1699" t="str">
        <f t="shared" si="265"/>
        <v>-</v>
      </c>
      <c r="AU128" s="442"/>
      <c r="AV128" s="442"/>
      <c r="AW128" s="442"/>
      <c r="AX128" s="442"/>
      <c r="AY128" s="442"/>
    </row>
    <row r="129" spans="1:51">
      <c r="A129" s="483">
        <f t="shared" si="266"/>
        <v>107</v>
      </c>
      <c r="B129" s="1781">
        <v>25</v>
      </c>
      <c r="C129" s="1059" t="s">
        <v>1104</v>
      </c>
      <c r="D129" s="860" t="s">
        <v>1105</v>
      </c>
      <c r="E129" s="1060" t="s">
        <v>1276</v>
      </c>
      <c r="F129" s="1073" t="s">
        <v>1107</v>
      </c>
      <c r="G129" s="1276">
        <f t="shared" si="253"/>
        <v>0</v>
      </c>
      <c r="H129" s="1277">
        <f t="shared" si="253"/>
        <v>4</v>
      </c>
      <c r="I129" s="1277">
        <f t="shared" si="253"/>
        <v>4</v>
      </c>
      <c r="J129" s="1689">
        <f t="shared" si="254"/>
        <v>1</v>
      </c>
      <c r="K129" s="1276">
        <f t="shared" si="255"/>
        <v>0</v>
      </c>
      <c r="L129" s="1277">
        <f t="shared" si="255"/>
        <v>4</v>
      </c>
      <c r="M129" s="1277">
        <f t="shared" si="255"/>
        <v>4</v>
      </c>
      <c r="N129" s="1689">
        <f t="shared" si="256"/>
        <v>1</v>
      </c>
      <c r="O129" s="1047"/>
      <c r="P129" s="1048"/>
      <c r="Q129" s="1048"/>
      <c r="R129" s="1699" t="str">
        <f t="shared" si="257"/>
        <v>-</v>
      </c>
      <c r="S129" s="1047"/>
      <c r="T129" s="1048"/>
      <c r="U129" s="1048"/>
      <c r="V129" s="1699" t="str">
        <f t="shared" si="258"/>
        <v>-</v>
      </c>
      <c r="W129" s="1047"/>
      <c r="X129" s="1048"/>
      <c r="Y129" s="1048"/>
      <c r="Z129" s="1699" t="str">
        <f t="shared" si="259"/>
        <v>-</v>
      </c>
      <c r="AA129" s="1047"/>
      <c r="AB129" s="1048">
        <v>4</v>
      </c>
      <c r="AC129" s="1048">
        <v>4</v>
      </c>
      <c r="AD129" s="1699">
        <f t="shared" si="260"/>
        <v>1</v>
      </c>
      <c r="AE129" s="1276">
        <f t="shared" si="261"/>
        <v>0</v>
      </c>
      <c r="AF129" s="1277">
        <f t="shared" si="261"/>
        <v>0</v>
      </c>
      <c r="AG129" s="1277">
        <f t="shared" si="261"/>
        <v>0</v>
      </c>
      <c r="AH129" s="1689" t="str">
        <f t="shared" si="262"/>
        <v>-</v>
      </c>
      <c r="AI129" s="1047"/>
      <c r="AJ129" s="1048"/>
      <c r="AK129" s="1048"/>
      <c r="AL129" s="1699" t="str">
        <f t="shared" si="263"/>
        <v>-</v>
      </c>
      <c r="AM129" s="1047"/>
      <c r="AN129" s="1048"/>
      <c r="AO129" s="1048"/>
      <c r="AP129" s="1699" t="str">
        <f t="shared" si="264"/>
        <v>-</v>
      </c>
      <c r="AQ129" s="1047"/>
      <c r="AR129" s="1048"/>
      <c r="AS129" s="1048"/>
      <c r="AT129" s="1699" t="str">
        <f t="shared" si="265"/>
        <v>-</v>
      </c>
      <c r="AU129" s="442"/>
      <c r="AV129" s="442"/>
      <c r="AW129" s="442"/>
      <c r="AX129" s="442"/>
      <c r="AY129" s="442"/>
    </row>
    <row r="130" spans="1:51" ht="12.75" thickBot="1">
      <c r="A130" s="483">
        <f t="shared" si="266"/>
        <v>108</v>
      </c>
      <c r="B130" s="1781">
        <v>25</v>
      </c>
      <c r="C130" s="1059" t="s">
        <v>1011</v>
      </c>
      <c r="D130" s="860" t="s">
        <v>1012</v>
      </c>
      <c r="E130" s="1060" t="s">
        <v>1257</v>
      </c>
      <c r="F130" s="1073" t="s">
        <v>1100</v>
      </c>
      <c r="G130" s="1276">
        <f t="shared" si="253"/>
        <v>0</v>
      </c>
      <c r="H130" s="1277">
        <f t="shared" si="253"/>
        <v>0</v>
      </c>
      <c r="I130" s="1277">
        <f t="shared" si="253"/>
        <v>0</v>
      </c>
      <c r="J130" s="1689" t="str">
        <f t="shared" si="254"/>
        <v>-</v>
      </c>
      <c r="K130" s="1276">
        <f t="shared" si="255"/>
        <v>0</v>
      </c>
      <c r="L130" s="1277">
        <f t="shared" si="255"/>
        <v>0</v>
      </c>
      <c r="M130" s="1277">
        <f t="shared" si="255"/>
        <v>0</v>
      </c>
      <c r="N130" s="1689" t="str">
        <f t="shared" si="256"/>
        <v>-</v>
      </c>
      <c r="O130" s="1047"/>
      <c r="P130" s="1048"/>
      <c r="Q130" s="1048"/>
      <c r="R130" s="1699" t="str">
        <f t="shared" si="257"/>
        <v>-</v>
      </c>
      <c r="S130" s="1047"/>
      <c r="T130" s="1048"/>
      <c r="U130" s="1048"/>
      <c r="V130" s="1699" t="str">
        <f t="shared" si="258"/>
        <v>-</v>
      </c>
      <c r="W130" s="1047"/>
      <c r="X130" s="1048"/>
      <c r="Y130" s="1048"/>
      <c r="Z130" s="1699" t="str">
        <f t="shared" si="259"/>
        <v>-</v>
      </c>
      <c r="AA130" s="1047"/>
      <c r="AB130" s="1048"/>
      <c r="AC130" s="1048"/>
      <c r="AD130" s="1699" t="str">
        <f t="shared" si="260"/>
        <v>-</v>
      </c>
      <c r="AE130" s="1276">
        <f t="shared" si="261"/>
        <v>0</v>
      </c>
      <c r="AF130" s="1277">
        <f t="shared" si="261"/>
        <v>0</v>
      </c>
      <c r="AG130" s="1277">
        <f t="shared" si="261"/>
        <v>0</v>
      </c>
      <c r="AH130" s="1689" t="str">
        <f t="shared" si="262"/>
        <v>-</v>
      </c>
      <c r="AI130" s="1047"/>
      <c r="AJ130" s="1048"/>
      <c r="AK130" s="1048"/>
      <c r="AL130" s="1699" t="str">
        <f t="shared" si="263"/>
        <v>-</v>
      </c>
      <c r="AM130" s="1047"/>
      <c r="AN130" s="1048"/>
      <c r="AO130" s="1048"/>
      <c r="AP130" s="1699" t="str">
        <f t="shared" si="264"/>
        <v>-</v>
      </c>
      <c r="AQ130" s="1047"/>
      <c r="AR130" s="1048"/>
      <c r="AS130" s="1048"/>
      <c r="AT130" s="1699" t="str">
        <f t="shared" si="265"/>
        <v>-</v>
      </c>
      <c r="AU130" s="442"/>
      <c r="AV130" s="442"/>
      <c r="AW130" s="442"/>
      <c r="AX130" s="442"/>
      <c r="AY130" s="442"/>
    </row>
    <row r="131" spans="1:51" s="440" customFormat="1" ht="12.75" customHeight="1" thickBot="1">
      <c r="A131" s="479" t="s">
        <v>757</v>
      </c>
      <c r="B131" s="1771"/>
      <c r="C131" s="1906" t="s">
        <v>421</v>
      </c>
      <c r="D131" s="1907"/>
      <c r="E131" s="1907"/>
      <c r="F131" s="1908"/>
      <c r="G131" s="469">
        <f>SUM(G126:G130)</f>
        <v>500</v>
      </c>
      <c r="H131" s="470">
        <f>SUM(H126:H130)</f>
        <v>1480</v>
      </c>
      <c r="I131" s="470">
        <f>SUM(I126:I130)</f>
        <v>1480</v>
      </c>
      <c r="J131" s="1635">
        <f t="shared" si="254"/>
        <v>1</v>
      </c>
      <c r="K131" s="469">
        <f t="shared" ref="K131" si="267">SUM(K126:K130)</f>
        <v>500</v>
      </c>
      <c r="L131" s="470">
        <f t="shared" ref="L131:M131" si="268">SUM(L126:L130)</f>
        <v>1480</v>
      </c>
      <c r="M131" s="470">
        <f t="shared" si="268"/>
        <v>1480</v>
      </c>
      <c r="N131" s="1635">
        <f t="shared" si="256"/>
        <v>1</v>
      </c>
      <c r="O131" s="451">
        <f t="shared" ref="O131:AQ131" si="269">SUM(O126:O130)</f>
        <v>0</v>
      </c>
      <c r="P131" s="321">
        <f t="shared" ref="P131" si="270">SUM(P126:P130)</f>
        <v>800</v>
      </c>
      <c r="Q131" s="321">
        <f t="shared" ref="Q131" si="271">SUM(Q126:Q130)</f>
        <v>800</v>
      </c>
      <c r="R131" s="1638">
        <f t="shared" si="257"/>
        <v>1</v>
      </c>
      <c r="S131" s="451">
        <f t="shared" si="269"/>
        <v>0</v>
      </c>
      <c r="T131" s="321">
        <f t="shared" ref="T131" si="272">SUM(T126:T130)</f>
        <v>0</v>
      </c>
      <c r="U131" s="321">
        <f t="shared" ref="U131" si="273">SUM(U126:U130)</f>
        <v>0</v>
      </c>
      <c r="V131" s="1638" t="str">
        <f t="shared" si="258"/>
        <v>-</v>
      </c>
      <c r="W131" s="451">
        <f t="shared" si="269"/>
        <v>500</v>
      </c>
      <c r="X131" s="321">
        <f t="shared" ref="X131" si="274">SUM(X126:X130)</f>
        <v>676</v>
      </c>
      <c r="Y131" s="321">
        <f t="shared" ref="Y131" si="275">SUM(Y126:Y130)</f>
        <v>676</v>
      </c>
      <c r="Z131" s="1638">
        <f t="shared" si="259"/>
        <v>1</v>
      </c>
      <c r="AA131" s="451">
        <f t="shared" si="269"/>
        <v>0</v>
      </c>
      <c r="AB131" s="321">
        <f t="shared" ref="AB131" si="276">SUM(AB126:AB130)</f>
        <v>4</v>
      </c>
      <c r="AC131" s="321">
        <f t="shared" ref="AC131" si="277">SUM(AC126:AC130)</f>
        <v>4</v>
      </c>
      <c r="AD131" s="1638">
        <f t="shared" si="260"/>
        <v>1</v>
      </c>
      <c r="AE131" s="469">
        <f t="shared" si="269"/>
        <v>0</v>
      </c>
      <c r="AF131" s="470">
        <f t="shared" ref="AF131:AG131" si="278">SUM(AF126:AF130)</f>
        <v>0</v>
      </c>
      <c r="AG131" s="470">
        <f t="shared" si="278"/>
        <v>0</v>
      </c>
      <c r="AH131" s="1635" t="str">
        <f t="shared" si="262"/>
        <v>-</v>
      </c>
      <c r="AI131" s="451">
        <f t="shared" si="269"/>
        <v>0</v>
      </c>
      <c r="AJ131" s="321">
        <f t="shared" ref="AJ131" si="279">SUM(AJ126:AJ130)</f>
        <v>0</v>
      </c>
      <c r="AK131" s="321">
        <f t="shared" ref="AK131" si="280">SUM(AK126:AK130)</f>
        <v>0</v>
      </c>
      <c r="AL131" s="1638" t="str">
        <f t="shared" si="263"/>
        <v>-</v>
      </c>
      <c r="AM131" s="451">
        <f t="shared" si="269"/>
        <v>0</v>
      </c>
      <c r="AN131" s="321">
        <f t="shared" ref="AN131" si="281">SUM(AN126:AN130)</f>
        <v>0</v>
      </c>
      <c r="AO131" s="321">
        <f t="shared" ref="AO131" si="282">SUM(AO126:AO130)</f>
        <v>0</v>
      </c>
      <c r="AP131" s="1638" t="str">
        <f t="shared" si="264"/>
        <v>-</v>
      </c>
      <c r="AQ131" s="451">
        <f t="shared" si="269"/>
        <v>0</v>
      </c>
      <c r="AR131" s="321">
        <f t="shared" ref="AR131" si="283">SUM(AR126:AR130)</f>
        <v>0</v>
      </c>
      <c r="AS131" s="321">
        <f t="shared" ref="AS131" si="284">SUM(AS126:AS130)</f>
        <v>0</v>
      </c>
      <c r="AT131" s="1638" t="str">
        <f t="shared" si="265"/>
        <v>-</v>
      </c>
      <c r="AU131" s="442"/>
      <c r="AV131" s="442"/>
      <c r="AW131" s="442"/>
      <c r="AX131" s="442"/>
      <c r="AY131" s="442"/>
    </row>
    <row r="132" spans="1:51" s="444" customFormat="1" ht="12.75" customHeight="1" thickBot="1">
      <c r="A132" s="485">
        <f>A130+1</f>
        <v>109</v>
      </c>
      <c r="B132" s="1785">
        <v>27</v>
      </c>
      <c r="C132" s="834" t="s">
        <v>19</v>
      </c>
      <c r="D132" s="476" t="s">
        <v>19</v>
      </c>
      <c r="E132" s="829" t="s">
        <v>19</v>
      </c>
      <c r="F132" s="1075" t="s">
        <v>19</v>
      </c>
      <c r="G132" s="1286">
        <f>+K132+AE132</f>
        <v>0</v>
      </c>
      <c r="H132" s="1287">
        <f>+L132+AF132</f>
        <v>0</v>
      </c>
      <c r="I132" s="1287">
        <f>+M132+AG132</f>
        <v>0</v>
      </c>
      <c r="J132" s="1695" t="str">
        <f t="shared" si="254"/>
        <v>-</v>
      </c>
      <c r="K132" s="1286">
        <f>+O132+S132+W132+AA132</f>
        <v>0</v>
      </c>
      <c r="L132" s="1287">
        <f>+P132+T132+X132+AB132</f>
        <v>0</v>
      </c>
      <c r="M132" s="1287">
        <f>+Q132+U132+Y132+AC132</f>
        <v>0</v>
      </c>
      <c r="N132" s="1695" t="str">
        <f t="shared" si="256"/>
        <v>-</v>
      </c>
      <c r="O132" s="448"/>
      <c r="P132" s="447"/>
      <c r="Q132" s="447"/>
      <c r="R132" s="1702" t="str">
        <f t="shared" si="257"/>
        <v>-</v>
      </c>
      <c r="S132" s="448"/>
      <c r="T132" s="447"/>
      <c r="U132" s="447"/>
      <c r="V132" s="1702" t="str">
        <f t="shared" si="258"/>
        <v>-</v>
      </c>
      <c r="W132" s="448"/>
      <c r="X132" s="447"/>
      <c r="Y132" s="447"/>
      <c r="Z132" s="1702" t="str">
        <f t="shared" si="259"/>
        <v>-</v>
      </c>
      <c r="AA132" s="448"/>
      <c r="AB132" s="447"/>
      <c r="AC132" s="447"/>
      <c r="AD132" s="1702" t="str">
        <f t="shared" si="260"/>
        <v>-</v>
      </c>
      <c r="AE132" s="1286">
        <f>+AI132+AM132+AQ132</f>
        <v>0</v>
      </c>
      <c r="AF132" s="1287">
        <f>+AJ132+AN132+AR132</f>
        <v>0</v>
      </c>
      <c r="AG132" s="1287">
        <f>+AK132+AO132+AS132</f>
        <v>0</v>
      </c>
      <c r="AH132" s="1695" t="str">
        <f t="shared" si="262"/>
        <v>-</v>
      </c>
      <c r="AI132" s="448"/>
      <c r="AJ132" s="447"/>
      <c r="AK132" s="447"/>
      <c r="AL132" s="1702" t="str">
        <f t="shared" si="263"/>
        <v>-</v>
      </c>
      <c r="AM132" s="448"/>
      <c r="AN132" s="447"/>
      <c r="AO132" s="447"/>
      <c r="AP132" s="1702" t="str">
        <f t="shared" si="264"/>
        <v>-</v>
      </c>
      <c r="AQ132" s="448"/>
      <c r="AR132" s="447"/>
      <c r="AS132" s="447"/>
      <c r="AT132" s="1702" t="str">
        <f t="shared" si="265"/>
        <v>-</v>
      </c>
      <c r="AU132" s="442"/>
      <c r="AV132" s="442"/>
      <c r="AW132" s="442"/>
      <c r="AX132" s="442"/>
      <c r="AY132" s="442"/>
    </row>
    <row r="133" spans="1:51" s="440" customFormat="1" ht="12.75" customHeight="1" thickBot="1">
      <c r="A133" s="479" t="s">
        <v>642</v>
      </c>
      <c r="B133" s="1771"/>
      <c r="C133" s="1906" t="s">
        <v>759</v>
      </c>
      <c r="D133" s="1907"/>
      <c r="E133" s="1907"/>
      <c r="F133" s="1908"/>
      <c r="G133" s="469">
        <f>SUM(G132)</f>
        <v>0</v>
      </c>
      <c r="H133" s="470">
        <f>SUM(H132)</f>
        <v>0</v>
      </c>
      <c r="I133" s="470">
        <f>SUM(I132)</f>
        <v>0</v>
      </c>
      <c r="J133" s="1635" t="str">
        <f t="shared" si="254"/>
        <v>-</v>
      </c>
      <c r="K133" s="469">
        <f t="shared" ref="K133" si="285">SUM(K132)</f>
        <v>0</v>
      </c>
      <c r="L133" s="470">
        <f t="shared" ref="L133:M133" si="286">SUM(L132)</f>
        <v>0</v>
      </c>
      <c r="M133" s="470">
        <f t="shared" si="286"/>
        <v>0</v>
      </c>
      <c r="N133" s="1635" t="str">
        <f t="shared" si="256"/>
        <v>-</v>
      </c>
      <c r="O133" s="451">
        <f t="shared" ref="O133:AQ135" si="287">SUM(O132)</f>
        <v>0</v>
      </c>
      <c r="P133" s="321">
        <f t="shared" ref="P133:Q133" si="288">SUM(P132)</f>
        <v>0</v>
      </c>
      <c r="Q133" s="321">
        <f t="shared" si="288"/>
        <v>0</v>
      </c>
      <c r="R133" s="1638" t="str">
        <f t="shared" si="257"/>
        <v>-</v>
      </c>
      <c r="S133" s="451">
        <f t="shared" si="287"/>
        <v>0</v>
      </c>
      <c r="T133" s="321">
        <f t="shared" ref="T133:U133" si="289">SUM(T132)</f>
        <v>0</v>
      </c>
      <c r="U133" s="321">
        <f t="shared" si="289"/>
        <v>0</v>
      </c>
      <c r="V133" s="1638" t="str">
        <f t="shared" si="258"/>
        <v>-</v>
      </c>
      <c r="W133" s="451">
        <f t="shared" si="287"/>
        <v>0</v>
      </c>
      <c r="X133" s="321">
        <f t="shared" ref="X133:Y133" si="290">SUM(X132)</f>
        <v>0</v>
      </c>
      <c r="Y133" s="321">
        <f t="shared" si="290"/>
        <v>0</v>
      </c>
      <c r="Z133" s="1638" t="str">
        <f t="shared" si="259"/>
        <v>-</v>
      </c>
      <c r="AA133" s="451">
        <f t="shared" si="287"/>
        <v>0</v>
      </c>
      <c r="AB133" s="321">
        <f t="shared" ref="AB133:AC133" si="291">SUM(AB132)</f>
        <v>0</v>
      </c>
      <c r="AC133" s="321">
        <f t="shared" si="291"/>
        <v>0</v>
      </c>
      <c r="AD133" s="1638" t="str">
        <f t="shared" si="260"/>
        <v>-</v>
      </c>
      <c r="AE133" s="469">
        <f t="shared" si="287"/>
        <v>0</v>
      </c>
      <c r="AF133" s="470">
        <f t="shared" ref="AF133:AG133" si="292">SUM(AF132)</f>
        <v>0</v>
      </c>
      <c r="AG133" s="470">
        <f t="shared" si="292"/>
        <v>0</v>
      </c>
      <c r="AH133" s="1635" t="str">
        <f t="shared" si="262"/>
        <v>-</v>
      </c>
      <c r="AI133" s="451">
        <f t="shared" si="287"/>
        <v>0</v>
      </c>
      <c r="AJ133" s="321">
        <f t="shared" ref="AJ133:AK133" si="293">SUM(AJ132)</f>
        <v>0</v>
      </c>
      <c r="AK133" s="321">
        <f t="shared" si="293"/>
        <v>0</v>
      </c>
      <c r="AL133" s="1638" t="str">
        <f t="shared" si="263"/>
        <v>-</v>
      </c>
      <c r="AM133" s="451">
        <f t="shared" si="287"/>
        <v>0</v>
      </c>
      <c r="AN133" s="321">
        <f t="shared" ref="AN133:AO133" si="294">SUM(AN132)</f>
        <v>0</v>
      </c>
      <c r="AO133" s="321">
        <f t="shared" si="294"/>
        <v>0</v>
      </c>
      <c r="AP133" s="1638" t="str">
        <f t="shared" si="264"/>
        <v>-</v>
      </c>
      <c r="AQ133" s="451">
        <f t="shared" si="287"/>
        <v>0</v>
      </c>
      <c r="AR133" s="321">
        <f t="shared" ref="AR133:AS133" si="295">SUM(AR132)</f>
        <v>0</v>
      </c>
      <c r="AS133" s="321">
        <f t="shared" si="295"/>
        <v>0</v>
      </c>
      <c r="AT133" s="1638" t="str">
        <f t="shared" si="265"/>
        <v>-</v>
      </c>
      <c r="AU133" s="442"/>
      <c r="AV133" s="442"/>
      <c r="AW133" s="442"/>
      <c r="AX133" s="442"/>
      <c r="AY133" s="442"/>
    </row>
    <row r="134" spans="1:51" s="444" customFormat="1" ht="12.75" customHeight="1" thickBot="1">
      <c r="A134" s="485">
        <f>+A132+1</f>
        <v>110</v>
      </c>
      <c r="B134" s="1785">
        <v>28</v>
      </c>
      <c r="C134" s="834" t="s">
        <v>19</v>
      </c>
      <c r="D134" s="476" t="s">
        <v>19</v>
      </c>
      <c r="E134" s="829" t="s">
        <v>19</v>
      </c>
      <c r="F134" s="1075" t="s">
        <v>19</v>
      </c>
      <c r="G134" s="1286">
        <f>+K134+AE134</f>
        <v>0</v>
      </c>
      <c r="H134" s="1287">
        <f>+L134+AF134</f>
        <v>0</v>
      </c>
      <c r="I134" s="1287">
        <f>+M134+AG134</f>
        <v>0</v>
      </c>
      <c r="J134" s="1695" t="str">
        <f t="shared" si="254"/>
        <v>-</v>
      </c>
      <c r="K134" s="1286">
        <f>+O134+S134+W134+AA134</f>
        <v>0</v>
      </c>
      <c r="L134" s="1287">
        <f>+P134+T134+X134+AB134</f>
        <v>0</v>
      </c>
      <c r="M134" s="1287">
        <f>+Q134+U134+Y134+AC134</f>
        <v>0</v>
      </c>
      <c r="N134" s="1695" t="str">
        <f t="shared" si="256"/>
        <v>-</v>
      </c>
      <c r="O134" s="448"/>
      <c r="P134" s="447"/>
      <c r="Q134" s="447"/>
      <c r="R134" s="1702" t="str">
        <f t="shared" si="257"/>
        <v>-</v>
      </c>
      <c r="S134" s="448"/>
      <c r="T134" s="447"/>
      <c r="U134" s="447"/>
      <c r="V134" s="1702" t="str">
        <f t="shared" si="258"/>
        <v>-</v>
      </c>
      <c r="W134" s="448"/>
      <c r="X134" s="447"/>
      <c r="Y134" s="447"/>
      <c r="Z134" s="1702" t="str">
        <f t="shared" si="259"/>
        <v>-</v>
      </c>
      <c r="AA134" s="448"/>
      <c r="AB134" s="447"/>
      <c r="AC134" s="447"/>
      <c r="AD134" s="1702" t="str">
        <f t="shared" si="260"/>
        <v>-</v>
      </c>
      <c r="AE134" s="1286">
        <f>+AI134+AM134+AQ134</f>
        <v>0</v>
      </c>
      <c r="AF134" s="1287">
        <f>+AJ134+AN134+AR134</f>
        <v>0</v>
      </c>
      <c r="AG134" s="1287">
        <f>+AK134+AO134+AS134</f>
        <v>0</v>
      </c>
      <c r="AH134" s="1695" t="str">
        <f t="shared" si="262"/>
        <v>-</v>
      </c>
      <c r="AI134" s="448"/>
      <c r="AJ134" s="447"/>
      <c r="AK134" s="447"/>
      <c r="AL134" s="1702" t="str">
        <f t="shared" si="263"/>
        <v>-</v>
      </c>
      <c r="AM134" s="448"/>
      <c r="AN134" s="447"/>
      <c r="AO134" s="447"/>
      <c r="AP134" s="1702" t="str">
        <f t="shared" si="264"/>
        <v>-</v>
      </c>
      <c r="AQ134" s="448"/>
      <c r="AR134" s="447"/>
      <c r="AS134" s="447"/>
      <c r="AT134" s="1702" t="str">
        <f t="shared" si="265"/>
        <v>-</v>
      </c>
      <c r="AU134" s="442"/>
      <c r="AV134" s="442"/>
      <c r="AW134" s="442"/>
      <c r="AX134" s="442"/>
      <c r="AY134" s="442"/>
    </row>
    <row r="135" spans="1:51" s="440" customFormat="1" ht="12.75" customHeight="1" thickBot="1">
      <c r="A135" s="479" t="s">
        <v>758</v>
      </c>
      <c r="B135" s="1771"/>
      <c r="C135" s="1906" t="s">
        <v>774</v>
      </c>
      <c r="D135" s="1907"/>
      <c r="E135" s="1907"/>
      <c r="F135" s="1908"/>
      <c r="G135" s="469">
        <f>SUM(G134)</f>
        <v>0</v>
      </c>
      <c r="H135" s="470">
        <f>SUM(H134)</f>
        <v>0</v>
      </c>
      <c r="I135" s="470">
        <f>SUM(I134)</f>
        <v>0</v>
      </c>
      <c r="J135" s="1635" t="str">
        <f t="shared" si="254"/>
        <v>-</v>
      </c>
      <c r="K135" s="469">
        <f t="shared" ref="K135" si="296">SUM(K134)</f>
        <v>0</v>
      </c>
      <c r="L135" s="470">
        <f t="shared" ref="L135:M135" si="297">SUM(L134)</f>
        <v>0</v>
      </c>
      <c r="M135" s="470">
        <f t="shared" si="297"/>
        <v>0</v>
      </c>
      <c r="N135" s="1635" t="str">
        <f t="shared" si="256"/>
        <v>-</v>
      </c>
      <c r="O135" s="451">
        <f t="shared" si="287"/>
        <v>0</v>
      </c>
      <c r="P135" s="321">
        <f t="shared" ref="P135:Q135" si="298">SUM(P134)</f>
        <v>0</v>
      </c>
      <c r="Q135" s="321">
        <f t="shared" si="298"/>
        <v>0</v>
      </c>
      <c r="R135" s="1638" t="str">
        <f t="shared" si="257"/>
        <v>-</v>
      </c>
      <c r="S135" s="451">
        <f t="shared" si="287"/>
        <v>0</v>
      </c>
      <c r="T135" s="321">
        <f t="shared" ref="T135:U135" si="299">SUM(T134)</f>
        <v>0</v>
      </c>
      <c r="U135" s="321">
        <f t="shared" si="299"/>
        <v>0</v>
      </c>
      <c r="V135" s="1638" t="str">
        <f t="shared" si="258"/>
        <v>-</v>
      </c>
      <c r="W135" s="451">
        <f t="shared" si="287"/>
        <v>0</v>
      </c>
      <c r="X135" s="321">
        <f t="shared" ref="X135:Y135" si="300">SUM(X134)</f>
        <v>0</v>
      </c>
      <c r="Y135" s="321">
        <f t="shared" si="300"/>
        <v>0</v>
      </c>
      <c r="Z135" s="1638" t="str">
        <f t="shared" si="259"/>
        <v>-</v>
      </c>
      <c r="AA135" s="451">
        <f t="shared" si="287"/>
        <v>0</v>
      </c>
      <c r="AB135" s="321">
        <f t="shared" ref="AB135:AC135" si="301">SUM(AB134)</f>
        <v>0</v>
      </c>
      <c r="AC135" s="321">
        <f t="shared" si="301"/>
        <v>0</v>
      </c>
      <c r="AD135" s="1638" t="str">
        <f t="shared" si="260"/>
        <v>-</v>
      </c>
      <c r="AE135" s="469">
        <f t="shared" si="287"/>
        <v>0</v>
      </c>
      <c r="AF135" s="470">
        <f t="shared" ref="AF135:AG135" si="302">SUM(AF134)</f>
        <v>0</v>
      </c>
      <c r="AG135" s="470">
        <f t="shared" si="302"/>
        <v>0</v>
      </c>
      <c r="AH135" s="1635" t="str">
        <f t="shared" si="262"/>
        <v>-</v>
      </c>
      <c r="AI135" s="451">
        <f t="shared" si="287"/>
        <v>0</v>
      </c>
      <c r="AJ135" s="321">
        <f t="shared" ref="AJ135:AK135" si="303">SUM(AJ134)</f>
        <v>0</v>
      </c>
      <c r="AK135" s="321">
        <f t="shared" si="303"/>
        <v>0</v>
      </c>
      <c r="AL135" s="1638" t="str">
        <f t="shared" si="263"/>
        <v>-</v>
      </c>
      <c r="AM135" s="451">
        <f t="shared" si="287"/>
        <v>0</v>
      </c>
      <c r="AN135" s="321">
        <f t="shared" ref="AN135:AO135" si="304">SUM(AN134)</f>
        <v>0</v>
      </c>
      <c r="AO135" s="321">
        <f t="shared" si="304"/>
        <v>0</v>
      </c>
      <c r="AP135" s="1638" t="str">
        <f t="shared" si="264"/>
        <v>-</v>
      </c>
      <c r="AQ135" s="451">
        <f t="shared" si="287"/>
        <v>0</v>
      </c>
      <c r="AR135" s="321">
        <f t="shared" ref="AR135:AS135" si="305">SUM(AR134)</f>
        <v>0</v>
      </c>
      <c r="AS135" s="321">
        <f t="shared" si="305"/>
        <v>0</v>
      </c>
      <c r="AT135" s="1638" t="str">
        <f t="shared" si="265"/>
        <v>-</v>
      </c>
      <c r="AU135" s="442"/>
      <c r="AV135" s="442"/>
      <c r="AW135" s="442"/>
      <c r="AX135" s="442"/>
      <c r="AY135" s="442"/>
    </row>
    <row r="136" spans="1:51" s="440" customFormat="1" ht="12.75" customHeight="1" thickBot="1">
      <c r="A136" s="480" t="s">
        <v>20</v>
      </c>
      <c r="B136" s="1782"/>
      <c r="C136" s="1900" t="s">
        <v>423</v>
      </c>
      <c r="D136" s="1901"/>
      <c r="E136" s="1901"/>
      <c r="F136" s="1902"/>
      <c r="G136" s="453">
        <f>+G131+G133+G135</f>
        <v>500</v>
      </c>
      <c r="H136" s="454">
        <f>+H131+H133+H135</f>
        <v>1480</v>
      </c>
      <c r="I136" s="454">
        <f>+I131+I133+I135</f>
        <v>1480</v>
      </c>
      <c r="J136" s="1692">
        <f t="shared" si="254"/>
        <v>1</v>
      </c>
      <c r="K136" s="453">
        <f t="shared" ref="K136" si="306">+K131+K133+K135</f>
        <v>500</v>
      </c>
      <c r="L136" s="454">
        <f t="shared" ref="L136:M136" si="307">+L131+L133+L135</f>
        <v>1480</v>
      </c>
      <c r="M136" s="454">
        <f t="shared" si="307"/>
        <v>1480</v>
      </c>
      <c r="N136" s="1692">
        <f t="shared" si="256"/>
        <v>1</v>
      </c>
      <c r="O136" s="463">
        <f t="shared" ref="O136:AQ136" si="308">+O131+O133+O135</f>
        <v>0</v>
      </c>
      <c r="P136" s="464">
        <f t="shared" ref="P136:Q136" si="309">+P131+P133+P135</f>
        <v>800</v>
      </c>
      <c r="Q136" s="464">
        <f t="shared" si="309"/>
        <v>800</v>
      </c>
      <c r="R136" s="1696">
        <f t="shared" si="257"/>
        <v>1</v>
      </c>
      <c r="S136" s="463">
        <f t="shared" si="308"/>
        <v>0</v>
      </c>
      <c r="T136" s="464">
        <f t="shared" ref="T136:U136" si="310">+T131+T133+T135</f>
        <v>0</v>
      </c>
      <c r="U136" s="464">
        <f t="shared" si="310"/>
        <v>0</v>
      </c>
      <c r="V136" s="1696" t="str">
        <f t="shared" si="258"/>
        <v>-</v>
      </c>
      <c r="W136" s="463">
        <f t="shared" si="308"/>
        <v>500</v>
      </c>
      <c r="X136" s="464">
        <f t="shared" ref="X136:Y136" si="311">+X131+X133+X135</f>
        <v>676</v>
      </c>
      <c r="Y136" s="464">
        <f t="shared" si="311"/>
        <v>676</v>
      </c>
      <c r="Z136" s="1696">
        <f t="shared" si="259"/>
        <v>1</v>
      </c>
      <c r="AA136" s="463">
        <f t="shared" si="308"/>
        <v>0</v>
      </c>
      <c r="AB136" s="464">
        <f t="shared" ref="AB136:AC136" si="312">+AB131+AB133+AB135</f>
        <v>4</v>
      </c>
      <c r="AC136" s="464">
        <f t="shared" si="312"/>
        <v>4</v>
      </c>
      <c r="AD136" s="1696">
        <f t="shared" si="260"/>
        <v>1</v>
      </c>
      <c r="AE136" s="453">
        <f t="shared" si="308"/>
        <v>0</v>
      </c>
      <c r="AF136" s="454">
        <f t="shared" ref="AF136:AG136" si="313">+AF131+AF133+AF135</f>
        <v>0</v>
      </c>
      <c r="AG136" s="454">
        <f t="shared" si="313"/>
        <v>0</v>
      </c>
      <c r="AH136" s="1692" t="str">
        <f t="shared" si="262"/>
        <v>-</v>
      </c>
      <c r="AI136" s="463">
        <f t="shared" si="308"/>
        <v>0</v>
      </c>
      <c r="AJ136" s="464">
        <f t="shared" ref="AJ136:AK136" si="314">+AJ131+AJ133+AJ135</f>
        <v>0</v>
      </c>
      <c r="AK136" s="464">
        <f t="shared" si="314"/>
        <v>0</v>
      </c>
      <c r="AL136" s="1696" t="str">
        <f t="shared" si="263"/>
        <v>-</v>
      </c>
      <c r="AM136" s="463">
        <f t="shared" si="308"/>
        <v>0</v>
      </c>
      <c r="AN136" s="464">
        <f t="shared" ref="AN136:AO136" si="315">+AN131+AN133+AN135</f>
        <v>0</v>
      </c>
      <c r="AO136" s="464">
        <f t="shared" si="315"/>
        <v>0</v>
      </c>
      <c r="AP136" s="1696" t="str">
        <f t="shared" si="264"/>
        <v>-</v>
      </c>
      <c r="AQ136" s="463">
        <f t="shared" si="308"/>
        <v>0</v>
      </c>
      <c r="AR136" s="464">
        <f t="shared" ref="AR136:AS136" si="316">+AR131+AR133+AR135</f>
        <v>0</v>
      </c>
      <c r="AS136" s="464">
        <f t="shared" si="316"/>
        <v>0</v>
      </c>
      <c r="AT136" s="1696" t="str">
        <f t="shared" si="265"/>
        <v>-</v>
      </c>
      <c r="AU136" s="442"/>
      <c r="AV136" s="442"/>
      <c r="AW136" s="442"/>
      <c r="AX136" s="442"/>
      <c r="AY136" s="442"/>
    </row>
    <row r="137" spans="1:51" s="440" customFormat="1" ht="12.75" thickBot="1">
      <c r="A137" s="479"/>
      <c r="B137" s="1775"/>
      <c r="C137" s="833"/>
      <c r="D137" s="478"/>
      <c r="E137" s="828"/>
      <c r="F137" s="450"/>
      <c r="G137" s="469"/>
      <c r="H137" s="470"/>
      <c r="I137" s="470"/>
      <c r="J137" s="1635"/>
      <c r="K137" s="469"/>
      <c r="L137" s="470"/>
      <c r="M137" s="470"/>
      <c r="N137" s="1635"/>
      <c r="O137" s="451"/>
      <c r="P137" s="321"/>
      <c r="Q137" s="321"/>
      <c r="R137" s="1638"/>
      <c r="S137" s="451"/>
      <c r="T137" s="321"/>
      <c r="U137" s="321"/>
      <c r="V137" s="1638"/>
      <c r="W137" s="451"/>
      <c r="X137" s="321"/>
      <c r="Y137" s="321"/>
      <c r="Z137" s="1638"/>
      <c r="AA137" s="451"/>
      <c r="AB137" s="321"/>
      <c r="AC137" s="321"/>
      <c r="AD137" s="1638"/>
      <c r="AE137" s="469"/>
      <c r="AF137" s="470"/>
      <c r="AG137" s="470"/>
      <c r="AH137" s="1635"/>
      <c r="AI137" s="451"/>
      <c r="AJ137" s="321"/>
      <c r="AK137" s="321"/>
      <c r="AL137" s="1638"/>
      <c r="AM137" s="451"/>
      <c r="AN137" s="321"/>
      <c r="AO137" s="321"/>
      <c r="AP137" s="1638"/>
      <c r="AQ137" s="451"/>
      <c r="AR137" s="321"/>
      <c r="AS137" s="321"/>
      <c r="AT137" s="1638"/>
      <c r="AU137" s="442"/>
      <c r="AV137" s="442"/>
      <c r="AW137" s="442"/>
      <c r="AX137" s="442"/>
      <c r="AY137" s="442"/>
    </row>
    <row r="138" spans="1:51" s="444" customFormat="1" ht="12.75" customHeight="1" thickBot="1">
      <c r="A138" s="483">
        <f>A134+1</f>
        <v>111</v>
      </c>
      <c r="B138" s="249">
        <v>29</v>
      </c>
      <c r="C138" s="1059" t="s">
        <v>19</v>
      </c>
      <c r="D138" s="860" t="s">
        <v>19</v>
      </c>
      <c r="E138" s="1060" t="s">
        <v>19</v>
      </c>
      <c r="F138" s="1073" t="s">
        <v>19</v>
      </c>
      <c r="G138" s="1276">
        <f>+K138+AE138</f>
        <v>0</v>
      </c>
      <c r="H138" s="1277">
        <f>+L138+AF138</f>
        <v>0</v>
      </c>
      <c r="I138" s="1277">
        <f>+M138+AG138</f>
        <v>0</v>
      </c>
      <c r="J138" s="1689" t="str">
        <f t="shared" ref="J138:J145" si="317">IF(ISERROR(I138/H138),"-",I138/H138)</f>
        <v>-</v>
      </c>
      <c r="K138" s="1276">
        <f>+O138+S138+W138+AA138</f>
        <v>0</v>
      </c>
      <c r="L138" s="1277">
        <f>+P138+T138+X138+AB138</f>
        <v>0</v>
      </c>
      <c r="M138" s="1277">
        <f>+Q138+U138+Y138+AC138</f>
        <v>0</v>
      </c>
      <c r="N138" s="1689" t="str">
        <f t="shared" ref="N138:N145" si="318">IF(ISERROR(M138/L138),"-",M138/L138)</f>
        <v>-</v>
      </c>
      <c r="O138" s="1047"/>
      <c r="P138" s="1048"/>
      <c r="Q138" s="1048"/>
      <c r="R138" s="1699" t="str">
        <f t="shared" ref="R138:R145" si="319">IF(ISERROR(Q138/P138),"-",Q138/P138)</f>
        <v>-</v>
      </c>
      <c r="S138" s="1049"/>
      <c r="T138" s="1050"/>
      <c r="U138" s="1048"/>
      <c r="V138" s="1699" t="str">
        <f t="shared" ref="V138:V145" si="320">IF(ISERROR(U138/T138),"-",U138/T138)</f>
        <v>-</v>
      </c>
      <c r="W138" s="1049"/>
      <c r="X138" s="1050"/>
      <c r="Y138" s="1048"/>
      <c r="Z138" s="1699" t="str">
        <f t="shared" ref="Z138:Z145" si="321">IF(ISERROR(Y138/X138),"-",Y138/X138)</f>
        <v>-</v>
      </c>
      <c r="AA138" s="1049"/>
      <c r="AB138" s="1050"/>
      <c r="AC138" s="1048"/>
      <c r="AD138" s="1699" t="str">
        <f t="shared" ref="AD138:AD145" si="322">IF(ISERROR(AC138/AB138),"-",AC138/AB138)</f>
        <v>-</v>
      </c>
      <c r="AE138" s="1276">
        <f>+AI138+AM138+AQ138</f>
        <v>0</v>
      </c>
      <c r="AF138" s="1277">
        <f>+AJ138+AN138+AR138</f>
        <v>0</v>
      </c>
      <c r="AG138" s="1277">
        <f>+AK138+AO138+AS138</f>
        <v>0</v>
      </c>
      <c r="AH138" s="1689" t="str">
        <f t="shared" ref="AH138:AH145" si="323">IF(ISERROR(AG138/AF138),"-",AG138/AF138)</f>
        <v>-</v>
      </c>
      <c r="AI138" s="1049"/>
      <c r="AJ138" s="1050"/>
      <c r="AK138" s="1048"/>
      <c r="AL138" s="1699" t="str">
        <f t="shared" ref="AL138:AL145" si="324">IF(ISERROR(AK138/AJ138),"-",AK138/AJ138)</f>
        <v>-</v>
      </c>
      <c r="AM138" s="1049"/>
      <c r="AN138" s="1050"/>
      <c r="AO138" s="1048"/>
      <c r="AP138" s="1699" t="str">
        <f t="shared" ref="AP138:AP145" si="325">IF(ISERROR(AO138/AN138),"-",AO138/AN138)</f>
        <v>-</v>
      </c>
      <c r="AQ138" s="1049"/>
      <c r="AR138" s="1050"/>
      <c r="AS138" s="1048"/>
      <c r="AT138" s="1699" t="str">
        <f t="shared" ref="AT138:AT145" si="326">IF(ISERROR(AS138/AR138),"-",AS138/AR138)</f>
        <v>-</v>
      </c>
      <c r="AU138" s="442"/>
      <c r="AV138" s="442"/>
      <c r="AW138" s="442"/>
      <c r="AX138" s="442"/>
      <c r="AY138" s="442"/>
    </row>
    <row r="139" spans="1:51" s="440" customFormat="1" ht="12.75" customHeight="1" thickBot="1">
      <c r="A139" s="479" t="s">
        <v>889</v>
      </c>
      <c r="B139" s="1771"/>
      <c r="C139" s="1906" t="s">
        <v>864</v>
      </c>
      <c r="D139" s="1907"/>
      <c r="E139" s="1907"/>
      <c r="F139" s="1908"/>
      <c r="G139" s="469">
        <f>SUM(G138)</f>
        <v>0</v>
      </c>
      <c r="H139" s="470">
        <f>SUM(H138)</f>
        <v>0</v>
      </c>
      <c r="I139" s="470">
        <f>SUM(I138)</f>
        <v>0</v>
      </c>
      <c r="J139" s="1635" t="str">
        <f t="shared" si="317"/>
        <v>-</v>
      </c>
      <c r="K139" s="469">
        <f t="shared" ref="K139" si="327">SUM(K138)</f>
        <v>0</v>
      </c>
      <c r="L139" s="470">
        <f t="shared" ref="L139:M139" si="328">SUM(L138)</f>
        <v>0</v>
      </c>
      <c r="M139" s="470">
        <f t="shared" si="328"/>
        <v>0</v>
      </c>
      <c r="N139" s="1635" t="str">
        <f t="shared" si="318"/>
        <v>-</v>
      </c>
      <c r="O139" s="451">
        <f t="shared" ref="O139:AQ139" si="329">SUM(O138)</f>
        <v>0</v>
      </c>
      <c r="P139" s="321">
        <f t="shared" ref="P139:Q139" si="330">SUM(P138)</f>
        <v>0</v>
      </c>
      <c r="Q139" s="321">
        <f t="shared" si="330"/>
        <v>0</v>
      </c>
      <c r="R139" s="1638" t="str">
        <f t="shared" si="319"/>
        <v>-</v>
      </c>
      <c r="S139" s="451">
        <f t="shared" si="329"/>
        <v>0</v>
      </c>
      <c r="T139" s="321">
        <f t="shared" ref="T139:U139" si="331">SUM(T138)</f>
        <v>0</v>
      </c>
      <c r="U139" s="321">
        <f t="shared" si="331"/>
        <v>0</v>
      </c>
      <c r="V139" s="1638" t="str">
        <f t="shared" si="320"/>
        <v>-</v>
      </c>
      <c r="W139" s="451">
        <f t="shared" si="329"/>
        <v>0</v>
      </c>
      <c r="X139" s="321">
        <f t="shared" ref="X139:Y139" si="332">SUM(X138)</f>
        <v>0</v>
      </c>
      <c r="Y139" s="321">
        <f t="shared" si="332"/>
        <v>0</v>
      </c>
      <c r="Z139" s="1638" t="str">
        <f t="shared" si="321"/>
        <v>-</v>
      </c>
      <c r="AA139" s="451">
        <f t="shared" si="329"/>
        <v>0</v>
      </c>
      <c r="AB139" s="321">
        <f t="shared" ref="AB139:AC139" si="333">SUM(AB138)</f>
        <v>0</v>
      </c>
      <c r="AC139" s="321">
        <f t="shared" si="333"/>
        <v>0</v>
      </c>
      <c r="AD139" s="1638" t="str">
        <f t="shared" si="322"/>
        <v>-</v>
      </c>
      <c r="AE139" s="469">
        <f t="shared" si="329"/>
        <v>0</v>
      </c>
      <c r="AF139" s="470">
        <f t="shared" ref="AF139:AG139" si="334">SUM(AF138)</f>
        <v>0</v>
      </c>
      <c r="AG139" s="470">
        <f t="shared" si="334"/>
        <v>0</v>
      </c>
      <c r="AH139" s="1635" t="str">
        <f t="shared" si="323"/>
        <v>-</v>
      </c>
      <c r="AI139" s="451">
        <f t="shared" si="329"/>
        <v>0</v>
      </c>
      <c r="AJ139" s="321">
        <f t="shared" ref="AJ139:AK139" si="335">SUM(AJ138)</f>
        <v>0</v>
      </c>
      <c r="AK139" s="321">
        <f t="shared" si="335"/>
        <v>0</v>
      </c>
      <c r="AL139" s="1638" t="str">
        <f t="shared" si="324"/>
        <v>-</v>
      </c>
      <c r="AM139" s="451">
        <f t="shared" si="329"/>
        <v>0</v>
      </c>
      <c r="AN139" s="321">
        <f t="shared" ref="AN139:AO139" si="336">SUM(AN138)</f>
        <v>0</v>
      </c>
      <c r="AO139" s="321">
        <f t="shared" si="336"/>
        <v>0</v>
      </c>
      <c r="AP139" s="1638" t="str">
        <f t="shared" si="325"/>
        <v>-</v>
      </c>
      <c r="AQ139" s="451">
        <f t="shared" si="329"/>
        <v>0</v>
      </c>
      <c r="AR139" s="321">
        <f t="shared" ref="AR139:AS139" si="337">SUM(AR138)</f>
        <v>0</v>
      </c>
      <c r="AS139" s="321">
        <f t="shared" si="337"/>
        <v>0</v>
      </c>
      <c r="AT139" s="1638" t="str">
        <f t="shared" si="326"/>
        <v>-</v>
      </c>
      <c r="AU139" s="442"/>
      <c r="AV139" s="442"/>
      <c r="AW139" s="442"/>
      <c r="AX139" s="442"/>
      <c r="AY139" s="442"/>
    </row>
    <row r="140" spans="1:51" s="444" customFormat="1" ht="12.75" customHeight="1">
      <c r="A140" s="793">
        <f>A138+1</f>
        <v>112</v>
      </c>
      <c r="B140" s="1784">
        <v>30</v>
      </c>
      <c r="C140" s="1070" t="s">
        <v>1084</v>
      </c>
      <c r="D140" s="864" t="s">
        <v>1085</v>
      </c>
      <c r="E140" s="1071" t="s">
        <v>1257</v>
      </c>
      <c r="F140" s="1076" t="s">
        <v>1085</v>
      </c>
      <c r="G140" s="1284">
        <f t="shared" ref="G140:I141" si="338">+K140+AE140</f>
        <v>15810</v>
      </c>
      <c r="H140" s="1285">
        <f t="shared" si="338"/>
        <v>0</v>
      </c>
      <c r="I140" s="1285">
        <f t="shared" si="338"/>
        <v>0</v>
      </c>
      <c r="J140" s="1694" t="str">
        <f t="shared" si="317"/>
        <v>-</v>
      </c>
      <c r="K140" s="1284">
        <f t="shared" ref="K140:M141" si="339">+O140+S140+W140+AA140</f>
        <v>15810</v>
      </c>
      <c r="L140" s="1285">
        <f t="shared" si="339"/>
        <v>0</v>
      </c>
      <c r="M140" s="1285">
        <f t="shared" si="339"/>
        <v>0</v>
      </c>
      <c r="N140" s="1694" t="str">
        <f t="shared" si="318"/>
        <v>-</v>
      </c>
      <c r="O140" s="1051">
        <v>3240</v>
      </c>
      <c r="P140" s="1052">
        <v>0</v>
      </c>
      <c r="Q140" s="1052"/>
      <c r="R140" s="1700" t="str">
        <f t="shared" si="319"/>
        <v>-</v>
      </c>
      <c r="S140" s="1051">
        <v>12570</v>
      </c>
      <c r="T140" s="1052">
        <v>0</v>
      </c>
      <c r="U140" s="1052"/>
      <c r="V140" s="1700" t="str">
        <f t="shared" si="320"/>
        <v>-</v>
      </c>
      <c r="W140" s="1051"/>
      <c r="X140" s="1052"/>
      <c r="Y140" s="1052"/>
      <c r="Z140" s="1700" t="str">
        <f t="shared" si="321"/>
        <v>-</v>
      </c>
      <c r="AA140" s="1051"/>
      <c r="AB140" s="1052"/>
      <c r="AC140" s="1052"/>
      <c r="AD140" s="1700" t="str">
        <f t="shared" si="322"/>
        <v>-</v>
      </c>
      <c r="AE140" s="1284">
        <f t="shared" ref="AE140:AG141" si="340">+AI140+AM140+AQ140</f>
        <v>0</v>
      </c>
      <c r="AF140" s="1285">
        <f t="shared" si="340"/>
        <v>0</v>
      </c>
      <c r="AG140" s="1285">
        <f t="shared" si="340"/>
        <v>0</v>
      </c>
      <c r="AH140" s="1694" t="str">
        <f t="shared" si="323"/>
        <v>-</v>
      </c>
      <c r="AI140" s="1051"/>
      <c r="AJ140" s="1052"/>
      <c r="AK140" s="1052"/>
      <c r="AL140" s="1700" t="str">
        <f t="shared" si="324"/>
        <v>-</v>
      </c>
      <c r="AM140" s="1051"/>
      <c r="AN140" s="1052"/>
      <c r="AO140" s="1052"/>
      <c r="AP140" s="1700" t="str">
        <f t="shared" si="325"/>
        <v>-</v>
      </c>
      <c r="AQ140" s="1051"/>
      <c r="AR140" s="1052"/>
      <c r="AS140" s="1052"/>
      <c r="AT140" s="1700" t="str">
        <f t="shared" si="326"/>
        <v>-</v>
      </c>
      <c r="AU140" s="442"/>
      <c r="AV140" s="442"/>
      <c r="AW140" s="442"/>
      <c r="AX140" s="442"/>
      <c r="AY140" s="442"/>
    </row>
    <row r="141" spans="1:51" s="444" customFormat="1" ht="12.75" customHeight="1" thickBot="1">
      <c r="A141" s="485">
        <f>A140+1</f>
        <v>113</v>
      </c>
      <c r="B141" s="1785">
        <v>30</v>
      </c>
      <c r="C141" s="1059" t="s">
        <v>1011</v>
      </c>
      <c r="D141" s="476" t="s">
        <v>1012</v>
      </c>
      <c r="E141" s="829" t="s">
        <v>1257</v>
      </c>
      <c r="F141" s="1075" t="s">
        <v>1085</v>
      </c>
      <c r="G141" s="1286">
        <f t="shared" si="338"/>
        <v>0</v>
      </c>
      <c r="H141" s="1287">
        <f t="shared" si="338"/>
        <v>0</v>
      </c>
      <c r="I141" s="1287">
        <f t="shared" si="338"/>
        <v>0</v>
      </c>
      <c r="J141" s="1695" t="str">
        <f t="shared" si="317"/>
        <v>-</v>
      </c>
      <c r="K141" s="1286">
        <f t="shared" si="339"/>
        <v>0</v>
      </c>
      <c r="L141" s="1287">
        <f t="shared" si="339"/>
        <v>0</v>
      </c>
      <c r="M141" s="1287">
        <f t="shared" si="339"/>
        <v>0</v>
      </c>
      <c r="N141" s="1695" t="str">
        <f t="shared" si="318"/>
        <v>-</v>
      </c>
      <c r="O141" s="448"/>
      <c r="P141" s="447"/>
      <c r="Q141" s="447"/>
      <c r="R141" s="1702" t="str">
        <f t="shared" si="319"/>
        <v>-</v>
      </c>
      <c r="S141" s="448"/>
      <c r="T141" s="447"/>
      <c r="U141" s="447"/>
      <c r="V141" s="1702" t="str">
        <f t="shared" si="320"/>
        <v>-</v>
      </c>
      <c r="W141" s="448"/>
      <c r="X141" s="447"/>
      <c r="Y141" s="447"/>
      <c r="Z141" s="1702" t="str">
        <f t="shared" si="321"/>
        <v>-</v>
      </c>
      <c r="AA141" s="448"/>
      <c r="AB141" s="447"/>
      <c r="AC141" s="447"/>
      <c r="AD141" s="1702" t="str">
        <f t="shared" si="322"/>
        <v>-</v>
      </c>
      <c r="AE141" s="1286">
        <f t="shared" si="340"/>
        <v>0</v>
      </c>
      <c r="AF141" s="1287">
        <f t="shared" si="340"/>
        <v>0</v>
      </c>
      <c r="AG141" s="1287">
        <f t="shared" si="340"/>
        <v>0</v>
      </c>
      <c r="AH141" s="1695" t="str">
        <f t="shared" si="323"/>
        <v>-</v>
      </c>
      <c r="AI141" s="448"/>
      <c r="AJ141" s="447"/>
      <c r="AK141" s="447"/>
      <c r="AL141" s="1702" t="str">
        <f t="shared" si="324"/>
        <v>-</v>
      </c>
      <c r="AM141" s="448"/>
      <c r="AN141" s="447"/>
      <c r="AO141" s="447"/>
      <c r="AP141" s="1702" t="str">
        <f t="shared" si="325"/>
        <v>-</v>
      </c>
      <c r="AQ141" s="448"/>
      <c r="AR141" s="447"/>
      <c r="AS141" s="447"/>
      <c r="AT141" s="1702" t="str">
        <f t="shared" si="326"/>
        <v>-</v>
      </c>
      <c r="AU141" s="442"/>
      <c r="AV141" s="442"/>
      <c r="AW141" s="442"/>
      <c r="AX141" s="442"/>
      <c r="AY141" s="442"/>
    </row>
    <row r="142" spans="1:51" s="440" customFormat="1" ht="12.75" customHeight="1" thickBot="1">
      <c r="A142" s="479" t="s">
        <v>890</v>
      </c>
      <c r="B142" s="1771"/>
      <c r="C142" s="1906" t="s">
        <v>865</v>
      </c>
      <c r="D142" s="1907"/>
      <c r="E142" s="1907"/>
      <c r="F142" s="1908"/>
      <c r="G142" s="469">
        <f>SUM(G140:G141)</f>
        <v>15810</v>
      </c>
      <c r="H142" s="470">
        <f>SUM(H140:H141)</f>
        <v>0</v>
      </c>
      <c r="I142" s="470">
        <f>SUM(I140:I141)</f>
        <v>0</v>
      </c>
      <c r="J142" s="1635" t="str">
        <f t="shared" si="317"/>
        <v>-</v>
      </c>
      <c r="K142" s="469">
        <f t="shared" ref="K142" si="341">SUM(K140:K141)</f>
        <v>15810</v>
      </c>
      <c r="L142" s="470">
        <f t="shared" ref="L142:M142" si="342">SUM(L140:L141)</f>
        <v>0</v>
      </c>
      <c r="M142" s="470">
        <f t="shared" si="342"/>
        <v>0</v>
      </c>
      <c r="N142" s="1635" t="str">
        <f t="shared" si="318"/>
        <v>-</v>
      </c>
      <c r="O142" s="451">
        <f t="shared" ref="O142:AQ142" si="343">SUM(O140:O141)</f>
        <v>3240</v>
      </c>
      <c r="P142" s="321">
        <f t="shared" ref="P142:Q142" si="344">SUM(P140:P141)</f>
        <v>0</v>
      </c>
      <c r="Q142" s="321">
        <f t="shared" si="344"/>
        <v>0</v>
      </c>
      <c r="R142" s="1638" t="str">
        <f t="shared" si="319"/>
        <v>-</v>
      </c>
      <c r="S142" s="451">
        <f t="shared" si="343"/>
        <v>12570</v>
      </c>
      <c r="T142" s="321">
        <f t="shared" ref="T142:U142" si="345">SUM(T140:T141)</f>
        <v>0</v>
      </c>
      <c r="U142" s="321">
        <f t="shared" si="345"/>
        <v>0</v>
      </c>
      <c r="V142" s="1638" t="str">
        <f t="shared" si="320"/>
        <v>-</v>
      </c>
      <c r="W142" s="451">
        <f t="shared" si="343"/>
        <v>0</v>
      </c>
      <c r="X142" s="321">
        <f t="shared" ref="X142:Y142" si="346">SUM(X140:X141)</f>
        <v>0</v>
      </c>
      <c r="Y142" s="321">
        <f t="shared" si="346"/>
        <v>0</v>
      </c>
      <c r="Z142" s="1638" t="str">
        <f t="shared" si="321"/>
        <v>-</v>
      </c>
      <c r="AA142" s="451">
        <f t="shared" si="343"/>
        <v>0</v>
      </c>
      <c r="AB142" s="321">
        <f t="shared" ref="AB142:AC142" si="347">SUM(AB140:AB141)</f>
        <v>0</v>
      </c>
      <c r="AC142" s="321">
        <f t="shared" si="347"/>
        <v>0</v>
      </c>
      <c r="AD142" s="1638" t="str">
        <f t="shared" si="322"/>
        <v>-</v>
      </c>
      <c r="AE142" s="469">
        <f t="shared" si="343"/>
        <v>0</v>
      </c>
      <c r="AF142" s="470">
        <f t="shared" ref="AF142:AG142" si="348">SUM(AF140:AF141)</f>
        <v>0</v>
      </c>
      <c r="AG142" s="470">
        <f t="shared" si="348"/>
        <v>0</v>
      </c>
      <c r="AH142" s="1635" t="str">
        <f t="shared" si="323"/>
        <v>-</v>
      </c>
      <c r="AI142" s="451">
        <f t="shared" si="343"/>
        <v>0</v>
      </c>
      <c r="AJ142" s="321">
        <f t="shared" ref="AJ142:AK142" si="349">SUM(AJ140:AJ141)</f>
        <v>0</v>
      </c>
      <c r="AK142" s="321">
        <f t="shared" si="349"/>
        <v>0</v>
      </c>
      <c r="AL142" s="1638" t="str">
        <f t="shared" si="324"/>
        <v>-</v>
      </c>
      <c r="AM142" s="451">
        <f t="shared" si="343"/>
        <v>0</v>
      </c>
      <c r="AN142" s="321">
        <f t="shared" ref="AN142:AO142" si="350">SUM(AN140:AN141)</f>
        <v>0</v>
      </c>
      <c r="AO142" s="321">
        <f t="shared" si="350"/>
        <v>0</v>
      </c>
      <c r="AP142" s="1638" t="str">
        <f t="shared" si="325"/>
        <v>-</v>
      </c>
      <c r="AQ142" s="451">
        <f t="shared" si="343"/>
        <v>0</v>
      </c>
      <c r="AR142" s="321">
        <f t="shared" ref="AR142:AS142" si="351">SUM(AR140:AR141)</f>
        <v>0</v>
      </c>
      <c r="AS142" s="321">
        <f t="shared" si="351"/>
        <v>0</v>
      </c>
      <c r="AT142" s="1638" t="str">
        <f t="shared" si="326"/>
        <v>-</v>
      </c>
      <c r="AU142" s="442"/>
      <c r="AV142" s="442"/>
      <c r="AW142" s="442"/>
      <c r="AX142" s="442"/>
      <c r="AY142" s="442"/>
    </row>
    <row r="143" spans="1:51" s="444" customFormat="1" ht="12.75" customHeight="1" thickBot="1">
      <c r="A143" s="485">
        <f>+A141+1</f>
        <v>114</v>
      </c>
      <c r="B143" s="1785">
        <v>31</v>
      </c>
      <c r="C143" s="834" t="s">
        <v>19</v>
      </c>
      <c r="D143" s="476" t="s">
        <v>19</v>
      </c>
      <c r="E143" s="829" t="s">
        <v>19</v>
      </c>
      <c r="F143" s="1075" t="s">
        <v>19</v>
      </c>
      <c r="G143" s="1286">
        <f>+K143+AE143</f>
        <v>0</v>
      </c>
      <c r="H143" s="1287">
        <f>+L143+AF143</f>
        <v>0</v>
      </c>
      <c r="I143" s="1287">
        <f>+M143+AG143</f>
        <v>0</v>
      </c>
      <c r="J143" s="1695" t="str">
        <f t="shared" si="317"/>
        <v>-</v>
      </c>
      <c r="K143" s="1286">
        <f>+O143+S143+W143+AA143</f>
        <v>0</v>
      </c>
      <c r="L143" s="1287">
        <f>+P143+T143+X143+AB143</f>
        <v>0</v>
      </c>
      <c r="M143" s="1287">
        <f>+Q143+U143+Y143+AC143</f>
        <v>0</v>
      </c>
      <c r="N143" s="1695" t="str">
        <f t="shared" si="318"/>
        <v>-</v>
      </c>
      <c r="O143" s="448"/>
      <c r="P143" s="447"/>
      <c r="Q143" s="447"/>
      <c r="R143" s="1699" t="str">
        <f t="shared" si="319"/>
        <v>-</v>
      </c>
      <c r="S143" s="448"/>
      <c r="T143" s="447"/>
      <c r="U143" s="447"/>
      <c r="V143" s="1699" t="str">
        <f t="shared" si="320"/>
        <v>-</v>
      </c>
      <c r="W143" s="448"/>
      <c r="X143" s="447"/>
      <c r="Y143" s="447"/>
      <c r="Z143" s="1699" t="str">
        <f t="shared" si="321"/>
        <v>-</v>
      </c>
      <c r="AA143" s="448"/>
      <c r="AB143" s="447"/>
      <c r="AC143" s="447"/>
      <c r="AD143" s="1699" t="str">
        <f t="shared" si="322"/>
        <v>-</v>
      </c>
      <c r="AE143" s="1286">
        <f>+AI143+AM143+AQ143</f>
        <v>0</v>
      </c>
      <c r="AF143" s="1287">
        <f>+AJ143+AN143+AR143</f>
        <v>0</v>
      </c>
      <c r="AG143" s="1287">
        <f>+AK143+AO143+AS143</f>
        <v>0</v>
      </c>
      <c r="AH143" s="1695" t="str">
        <f t="shared" si="323"/>
        <v>-</v>
      </c>
      <c r="AI143" s="448"/>
      <c r="AJ143" s="447"/>
      <c r="AK143" s="447"/>
      <c r="AL143" s="1699" t="str">
        <f t="shared" si="324"/>
        <v>-</v>
      </c>
      <c r="AM143" s="448"/>
      <c r="AN143" s="447"/>
      <c r="AO143" s="447"/>
      <c r="AP143" s="1699" t="str">
        <f t="shared" si="325"/>
        <v>-</v>
      </c>
      <c r="AQ143" s="448"/>
      <c r="AR143" s="447"/>
      <c r="AS143" s="447"/>
      <c r="AT143" s="1699" t="str">
        <f t="shared" si="326"/>
        <v>-</v>
      </c>
      <c r="AU143" s="442"/>
      <c r="AV143" s="442"/>
      <c r="AW143" s="442"/>
      <c r="AX143" s="442"/>
      <c r="AY143" s="442"/>
    </row>
    <row r="144" spans="1:51" s="440" customFormat="1" ht="12.75" customHeight="1" thickBot="1">
      <c r="A144" s="479" t="s">
        <v>891</v>
      </c>
      <c r="B144" s="1771"/>
      <c r="C144" s="1906" t="s">
        <v>892</v>
      </c>
      <c r="D144" s="1907"/>
      <c r="E144" s="1907"/>
      <c r="F144" s="1908"/>
      <c r="G144" s="469">
        <f>SUM(G143)</f>
        <v>0</v>
      </c>
      <c r="H144" s="470">
        <f>SUM(H143)</f>
        <v>0</v>
      </c>
      <c r="I144" s="470">
        <f>SUM(I143)</f>
        <v>0</v>
      </c>
      <c r="J144" s="1635" t="str">
        <f t="shared" si="317"/>
        <v>-</v>
      </c>
      <c r="K144" s="469">
        <f t="shared" ref="K144" si="352">SUM(K143)</f>
        <v>0</v>
      </c>
      <c r="L144" s="470">
        <f t="shared" ref="L144:M144" si="353">SUM(L143)</f>
        <v>0</v>
      </c>
      <c r="M144" s="470">
        <f t="shared" si="353"/>
        <v>0</v>
      </c>
      <c r="N144" s="1635" t="str">
        <f t="shared" si="318"/>
        <v>-</v>
      </c>
      <c r="O144" s="451">
        <f t="shared" ref="O144:AQ144" si="354">SUM(O143)</f>
        <v>0</v>
      </c>
      <c r="P144" s="321">
        <f t="shared" ref="P144:Q144" si="355">SUM(P143)</f>
        <v>0</v>
      </c>
      <c r="Q144" s="321">
        <f t="shared" si="355"/>
        <v>0</v>
      </c>
      <c r="R144" s="1638" t="str">
        <f t="shared" si="319"/>
        <v>-</v>
      </c>
      <c r="S144" s="451">
        <f t="shared" si="354"/>
        <v>0</v>
      </c>
      <c r="T144" s="321">
        <f t="shared" ref="T144:U144" si="356">SUM(T143)</f>
        <v>0</v>
      </c>
      <c r="U144" s="321">
        <f t="shared" si="356"/>
        <v>0</v>
      </c>
      <c r="V144" s="1638" t="str">
        <f t="shared" si="320"/>
        <v>-</v>
      </c>
      <c r="W144" s="451">
        <f t="shared" si="354"/>
        <v>0</v>
      </c>
      <c r="X144" s="321">
        <f t="shared" ref="X144:Y144" si="357">SUM(X143)</f>
        <v>0</v>
      </c>
      <c r="Y144" s="321">
        <f t="shared" si="357"/>
        <v>0</v>
      </c>
      <c r="Z144" s="1638" t="str">
        <f t="shared" si="321"/>
        <v>-</v>
      </c>
      <c r="AA144" s="451">
        <f t="shared" si="354"/>
        <v>0</v>
      </c>
      <c r="AB144" s="321">
        <f t="shared" ref="AB144:AC144" si="358">SUM(AB143)</f>
        <v>0</v>
      </c>
      <c r="AC144" s="321">
        <f t="shared" si="358"/>
        <v>0</v>
      </c>
      <c r="AD144" s="1638" t="str">
        <f t="shared" si="322"/>
        <v>-</v>
      </c>
      <c r="AE144" s="469">
        <f t="shared" si="354"/>
        <v>0</v>
      </c>
      <c r="AF144" s="470">
        <f t="shared" ref="AF144:AG144" si="359">SUM(AF143)</f>
        <v>0</v>
      </c>
      <c r="AG144" s="470">
        <f t="shared" si="359"/>
        <v>0</v>
      </c>
      <c r="AH144" s="1635" t="str">
        <f t="shared" si="323"/>
        <v>-</v>
      </c>
      <c r="AI144" s="451">
        <f t="shared" si="354"/>
        <v>0</v>
      </c>
      <c r="AJ144" s="321">
        <f t="shared" ref="AJ144:AK144" si="360">SUM(AJ143)</f>
        <v>0</v>
      </c>
      <c r="AK144" s="321">
        <f t="shared" si="360"/>
        <v>0</v>
      </c>
      <c r="AL144" s="1638" t="str">
        <f t="shared" si="324"/>
        <v>-</v>
      </c>
      <c r="AM144" s="451">
        <f t="shared" si="354"/>
        <v>0</v>
      </c>
      <c r="AN144" s="321">
        <f t="shared" ref="AN144:AO144" si="361">SUM(AN143)</f>
        <v>0</v>
      </c>
      <c r="AO144" s="321">
        <f t="shared" si="361"/>
        <v>0</v>
      </c>
      <c r="AP144" s="1638" t="str">
        <f t="shared" si="325"/>
        <v>-</v>
      </c>
      <c r="AQ144" s="451">
        <f t="shared" si="354"/>
        <v>0</v>
      </c>
      <c r="AR144" s="321">
        <f t="shared" ref="AR144:AS144" si="362">SUM(AR143)</f>
        <v>0</v>
      </c>
      <c r="AS144" s="321">
        <f t="shared" si="362"/>
        <v>0</v>
      </c>
      <c r="AT144" s="1638" t="str">
        <f t="shared" si="326"/>
        <v>-</v>
      </c>
      <c r="AU144" s="442"/>
      <c r="AV144" s="442"/>
      <c r="AW144" s="442"/>
      <c r="AX144" s="442"/>
      <c r="AY144" s="442"/>
    </row>
    <row r="145" spans="1:51" s="440" customFormat="1" ht="12.75" customHeight="1" thickBot="1">
      <c r="A145" s="480" t="s">
        <v>560</v>
      </c>
      <c r="B145" s="1782"/>
      <c r="C145" s="1900" t="s">
        <v>866</v>
      </c>
      <c r="D145" s="1901"/>
      <c r="E145" s="1901"/>
      <c r="F145" s="1902"/>
      <c r="G145" s="453">
        <f>+G139+G142+G144</f>
        <v>15810</v>
      </c>
      <c r="H145" s="454">
        <f>+H139+H142+H144</f>
        <v>0</v>
      </c>
      <c r="I145" s="454">
        <f>+I139+I142+I144</f>
        <v>0</v>
      </c>
      <c r="J145" s="1692" t="str">
        <f t="shared" si="317"/>
        <v>-</v>
      </c>
      <c r="K145" s="453">
        <f t="shared" ref="K145" si="363">+K139+K142+K144</f>
        <v>15810</v>
      </c>
      <c r="L145" s="454">
        <f t="shared" ref="L145:M145" si="364">+L139+L142+L144</f>
        <v>0</v>
      </c>
      <c r="M145" s="454">
        <f t="shared" si="364"/>
        <v>0</v>
      </c>
      <c r="N145" s="1692" t="str">
        <f t="shared" si="318"/>
        <v>-</v>
      </c>
      <c r="O145" s="463">
        <f t="shared" ref="O145:AQ145" si="365">+O139+O142+O144</f>
        <v>3240</v>
      </c>
      <c r="P145" s="464">
        <f t="shared" ref="P145:Q145" si="366">+P139+P142+P144</f>
        <v>0</v>
      </c>
      <c r="Q145" s="464">
        <f t="shared" si="366"/>
        <v>0</v>
      </c>
      <c r="R145" s="1696" t="str">
        <f t="shared" si="319"/>
        <v>-</v>
      </c>
      <c r="S145" s="463">
        <f t="shared" si="365"/>
        <v>12570</v>
      </c>
      <c r="T145" s="464">
        <f t="shared" ref="T145:U145" si="367">+T139+T142+T144</f>
        <v>0</v>
      </c>
      <c r="U145" s="464">
        <f t="shared" si="367"/>
        <v>0</v>
      </c>
      <c r="V145" s="1696" t="str">
        <f t="shared" si="320"/>
        <v>-</v>
      </c>
      <c r="W145" s="463">
        <f t="shared" si="365"/>
        <v>0</v>
      </c>
      <c r="X145" s="464">
        <f t="shared" ref="X145:Y145" si="368">+X139+X142+X144</f>
        <v>0</v>
      </c>
      <c r="Y145" s="464">
        <f t="shared" si="368"/>
        <v>0</v>
      </c>
      <c r="Z145" s="1696" t="str">
        <f t="shared" si="321"/>
        <v>-</v>
      </c>
      <c r="AA145" s="463">
        <f t="shared" si="365"/>
        <v>0</v>
      </c>
      <c r="AB145" s="464">
        <f t="shared" ref="AB145:AC145" si="369">+AB139+AB142+AB144</f>
        <v>0</v>
      </c>
      <c r="AC145" s="464">
        <f t="shared" si="369"/>
        <v>0</v>
      </c>
      <c r="AD145" s="1696" t="str">
        <f t="shared" si="322"/>
        <v>-</v>
      </c>
      <c r="AE145" s="453">
        <f t="shared" si="365"/>
        <v>0</v>
      </c>
      <c r="AF145" s="454">
        <f t="shared" ref="AF145:AG145" si="370">+AF139+AF142+AF144</f>
        <v>0</v>
      </c>
      <c r="AG145" s="454">
        <f t="shared" si="370"/>
        <v>0</v>
      </c>
      <c r="AH145" s="1692" t="str">
        <f t="shared" si="323"/>
        <v>-</v>
      </c>
      <c r="AI145" s="463">
        <f t="shared" si="365"/>
        <v>0</v>
      </c>
      <c r="AJ145" s="464">
        <f t="shared" ref="AJ145:AK145" si="371">+AJ139+AJ142+AJ144</f>
        <v>0</v>
      </c>
      <c r="AK145" s="464">
        <f t="shared" si="371"/>
        <v>0</v>
      </c>
      <c r="AL145" s="1696" t="str">
        <f t="shared" si="324"/>
        <v>-</v>
      </c>
      <c r="AM145" s="463">
        <f t="shared" si="365"/>
        <v>0</v>
      </c>
      <c r="AN145" s="464">
        <f t="shared" ref="AN145:AO145" si="372">+AN139+AN142+AN144</f>
        <v>0</v>
      </c>
      <c r="AO145" s="464">
        <f t="shared" si="372"/>
        <v>0</v>
      </c>
      <c r="AP145" s="1696" t="str">
        <f t="shared" si="325"/>
        <v>-</v>
      </c>
      <c r="AQ145" s="463">
        <f t="shared" si="365"/>
        <v>0</v>
      </c>
      <c r="AR145" s="464">
        <f t="shared" ref="AR145:AS145" si="373">+AR139+AR142+AR144</f>
        <v>0</v>
      </c>
      <c r="AS145" s="464">
        <f t="shared" si="373"/>
        <v>0</v>
      </c>
      <c r="AT145" s="1696" t="str">
        <f t="shared" si="326"/>
        <v>-</v>
      </c>
      <c r="AU145" s="442"/>
      <c r="AV145" s="442"/>
      <c r="AW145" s="442"/>
      <c r="AX145" s="442"/>
      <c r="AY145" s="442"/>
    </row>
    <row r="146" spans="1:51" s="440" customFormat="1" ht="12.75" thickBot="1">
      <c r="A146" s="479"/>
      <c r="B146" s="1775"/>
      <c r="C146" s="833"/>
      <c r="D146" s="478"/>
      <c r="E146" s="828"/>
      <c r="F146" s="450"/>
      <c r="G146" s="469"/>
      <c r="H146" s="470"/>
      <c r="I146" s="470"/>
      <c r="J146" s="1635"/>
      <c r="K146" s="469"/>
      <c r="L146" s="470"/>
      <c r="M146" s="470"/>
      <c r="N146" s="1635"/>
      <c r="O146" s="451"/>
      <c r="P146" s="321"/>
      <c r="Q146" s="321"/>
      <c r="R146" s="1638"/>
      <c r="S146" s="451"/>
      <c r="T146" s="321"/>
      <c r="U146" s="321"/>
      <c r="V146" s="1638"/>
      <c r="W146" s="451"/>
      <c r="X146" s="321"/>
      <c r="Y146" s="321"/>
      <c r="Z146" s="1638"/>
      <c r="AA146" s="451"/>
      <c r="AB146" s="321"/>
      <c r="AC146" s="321"/>
      <c r="AD146" s="1638"/>
      <c r="AE146" s="469"/>
      <c r="AF146" s="470"/>
      <c r="AG146" s="470"/>
      <c r="AH146" s="1635"/>
      <c r="AI146" s="451"/>
      <c r="AJ146" s="321"/>
      <c r="AK146" s="321"/>
      <c r="AL146" s="1638"/>
      <c r="AM146" s="451"/>
      <c r="AN146" s="321"/>
      <c r="AO146" s="321"/>
      <c r="AP146" s="1638"/>
      <c r="AQ146" s="451"/>
      <c r="AR146" s="321"/>
      <c r="AS146" s="321"/>
      <c r="AT146" s="1638"/>
      <c r="AU146" s="442"/>
      <c r="AV146" s="442"/>
      <c r="AW146" s="442"/>
      <c r="AX146" s="442"/>
      <c r="AY146" s="442"/>
    </row>
    <row r="147" spans="1:51">
      <c r="A147" s="483">
        <f>+A143+1</f>
        <v>115</v>
      </c>
      <c r="B147" s="1781">
        <v>32</v>
      </c>
      <c r="C147" s="1059" t="s">
        <v>1032</v>
      </c>
      <c r="D147" s="860" t="s">
        <v>1033</v>
      </c>
      <c r="E147" s="1060" t="s">
        <v>1277</v>
      </c>
      <c r="F147" s="1073" t="s">
        <v>1034</v>
      </c>
      <c r="G147" s="1276">
        <f t="shared" ref="G147:I151" si="374">+K147+AE147</f>
        <v>0</v>
      </c>
      <c r="H147" s="1277">
        <f t="shared" si="374"/>
        <v>0</v>
      </c>
      <c r="I147" s="1277">
        <f t="shared" si="374"/>
        <v>0</v>
      </c>
      <c r="J147" s="1689" t="str">
        <f t="shared" ref="J147:J157" si="375">IF(ISERROR(I147/H147),"-",I147/H147)</f>
        <v>-</v>
      </c>
      <c r="K147" s="1276">
        <f t="shared" ref="K147:M151" si="376">+O147+S147+W147+AA147</f>
        <v>0</v>
      </c>
      <c r="L147" s="1277">
        <f t="shared" si="376"/>
        <v>0</v>
      </c>
      <c r="M147" s="1277">
        <f t="shared" si="376"/>
        <v>0</v>
      </c>
      <c r="N147" s="1689" t="str">
        <f t="shared" ref="N147:N157" si="377">IF(ISERROR(M147/L147),"-",M147/L147)</f>
        <v>-</v>
      </c>
      <c r="O147" s="1047"/>
      <c r="P147" s="1048"/>
      <c r="Q147" s="1048"/>
      <c r="R147" s="1699" t="str">
        <f t="shared" ref="R147:R157" si="378">IF(ISERROR(Q147/P147),"-",Q147/P147)</f>
        <v>-</v>
      </c>
      <c r="S147" s="1047"/>
      <c r="T147" s="1048"/>
      <c r="U147" s="1048"/>
      <c r="V147" s="1699" t="str">
        <f t="shared" ref="V147:V157" si="379">IF(ISERROR(U147/T147),"-",U147/T147)</f>
        <v>-</v>
      </c>
      <c r="W147" s="1047"/>
      <c r="X147" s="1048"/>
      <c r="Y147" s="1048"/>
      <c r="Z147" s="1699" t="str">
        <f t="shared" ref="Z147:Z157" si="380">IF(ISERROR(Y147/X147),"-",Y147/X147)</f>
        <v>-</v>
      </c>
      <c r="AA147" s="1047"/>
      <c r="AB147" s="1048"/>
      <c r="AC147" s="1048"/>
      <c r="AD147" s="1699" t="str">
        <f t="shared" ref="AD147:AD157" si="381">IF(ISERROR(AC147/AB147),"-",AC147/AB147)</f>
        <v>-</v>
      </c>
      <c r="AE147" s="1276">
        <f t="shared" ref="AE147:AG151" si="382">+AI147+AM147+AQ147</f>
        <v>0</v>
      </c>
      <c r="AF147" s="1277">
        <f t="shared" si="382"/>
        <v>0</v>
      </c>
      <c r="AG147" s="1277">
        <f t="shared" si="382"/>
        <v>0</v>
      </c>
      <c r="AH147" s="1689" t="str">
        <f t="shared" ref="AH147:AH157" si="383">IF(ISERROR(AG147/AF147),"-",AG147/AF147)</f>
        <v>-</v>
      </c>
      <c r="AI147" s="1047"/>
      <c r="AJ147" s="1048"/>
      <c r="AK147" s="1048"/>
      <c r="AL147" s="1699" t="str">
        <f t="shared" ref="AL147:AL157" si="384">IF(ISERROR(AK147/AJ147),"-",AK147/AJ147)</f>
        <v>-</v>
      </c>
      <c r="AM147" s="1047"/>
      <c r="AN147" s="1048"/>
      <c r="AO147" s="1048"/>
      <c r="AP147" s="1699" t="str">
        <f t="shared" ref="AP147:AP157" si="385">IF(ISERROR(AO147/AN147),"-",AO147/AN147)</f>
        <v>-</v>
      </c>
      <c r="AQ147" s="1047"/>
      <c r="AR147" s="1048"/>
      <c r="AS147" s="1048"/>
      <c r="AT147" s="1699" t="str">
        <f t="shared" ref="AT147:AT157" si="386">IF(ISERROR(AS147/AR147),"-",AS147/AR147)</f>
        <v>-</v>
      </c>
      <c r="AU147" s="442"/>
      <c r="AV147" s="442"/>
      <c r="AW147" s="442"/>
      <c r="AX147" s="442"/>
      <c r="AY147" s="442"/>
    </row>
    <row r="148" spans="1:51">
      <c r="A148" s="483">
        <f>+A147+1</f>
        <v>116</v>
      </c>
      <c r="B148" s="1781">
        <v>32</v>
      </c>
      <c r="C148" s="1059" t="s">
        <v>1032</v>
      </c>
      <c r="D148" s="860" t="s">
        <v>1033</v>
      </c>
      <c r="E148" s="1060" t="s">
        <v>1278</v>
      </c>
      <c r="F148" s="1073" t="s">
        <v>1035</v>
      </c>
      <c r="G148" s="1276">
        <f t="shared" si="374"/>
        <v>0</v>
      </c>
      <c r="H148" s="1277">
        <f t="shared" si="374"/>
        <v>0</v>
      </c>
      <c r="I148" s="1277">
        <f t="shared" si="374"/>
        <v>0</v>
      </c>
      <c r="J148" s="1689" t="str">
        <f t="shared" si="375"/>
        <v>-</v>
      </c>
      <c r="K148" s="1276">
        <f t="shared" si="376"/>
        <v>0</v>
      </c>
      <c r="L148" s="1277">
        <f t="shared" si="376"/>
        <v>0</v>
      </c>
      <c r="M148" s="1277">
        <f t="shared" si="376"/>
        <v>0</v>
      </c>
      <c r="N148" s="1689" t="str">
        <f t="shared" si="377"/>
        <v>-</v>
      </c>
      <c r="O148" s="1047"/>
      <c r="P148" s="1048"/>
      <c r="Q148" s="1048"/>
      <c r="R148" s="1699" t="str">
        <f t="shared" si="378"/>
        <v>-</v>
      </c>
      <c r="S148" s="1047"/>
      <c r="T148" s="1048"/>
      <c r="U148" s="1048"/>
      <c r="V148" s="1699" t="str">
        <f t="shared" si="379"/>
        <v>-</v>
      </c>
      <c r="W148" s="1047"/>
      <c r="X148" s="1048"/>
      <c r="Y148" s="1048"/>
      <c r="Z148" s="1699" t="str">
        <f t="shared" si="380"/>
        <v>-</v>
      </c>
      <c r="AA148" s="1047"/>
      <c r="AB148" s="1048"/>
      <c r="AC148" s="1048"/>
      <c r="AD148" s="1699" t="str">
        <f t="shared" si="381"/>
        <v>-</v>
      </c>
      <c r="AE148" s="1276">
        <f t="shared" si="382"/>
        <v>0</v>
      </c>
      <c r="AF148" s="1277">
        <f t="shared" si="382"/>
        <v>0</v>
      </c>
      <c r="AG148" s="1277">
        <f t="shared" si="382"/>
        <v>0</v>
      </c>
      <c r="AH148" s="1689" t="str">
        <f t="shared" si="383"/>
        <v>-</v>
      </c>
      <c r="AI148" s="1047"/>
      <c r="AJ148" s="1048"/>
      <c r="AK148" s="1048"/>
      <c r="AL148" s="1699" t="str">
        <f t="shared" si="384"/>
        <v>-</v>
      </c>
      <c r="AM148" s="1047"/>
      <c r="AN148" s="1048"/>
      <c r="AO148" s="1048"/>
      <c r="AP148" s="1699" t="str">
        <f t="shared" si="385"/>
        <v>-</v>
      </c>
      <c r="AQ148" s="1047"/>
      <c r="AR148" s="1048"/>
      <c r="AS148" s="1048"/>
      <c r="AT148" s="1699" t="str">
        <f t="shared" si="386"/>
        <v>-</v>
      </c>
      <c r="AU148" s="442"/>
      <c r="AV148" s="442"/>
      <c r="AW148" s="442"/>
      <c r="AX148" s="442"/>
      <c r="AY148" s="442"/>
    </row>
    <row r="149" spans="1:51">
      <c r="A149" s="483">
        <f>+A148+1</f>
        <v>117</v>
      </c>
      <c r="B149" s="1781">
        <v>32</v>
      </c>
      <c r="C149" s="1059" t="s">
        <v>1037</v>
      </c>
      <c r="D149" s="860" t="s">
        <v>1036</v>
      </c>
      <c r="E149" s="1060" t="s">
        <v>1277</v>
      </c>
      <c r="F149" s="1073" t="s">
        <v>1034</v>
      </c>
      <c r="G149" s="1276">
        <f t="shared" si="374"/>
        <v>0</v>
      </c>
      <c r="H149" s="1277">
        <f t="shared" si="374"/>
        <v>0</v>
      </c>
      <c r="I149" s="1277">
        <f t="shared" si="374"/>
        <v>0</v>
      </c>
      <c r="J149" s="1689" t="str">
        <f t="shared" si="375"/>
        <v>-</v>
      </c>
      <c r="K149" s="1276">
        <f t="shared" si="376"/>
        <v>0</v>
      </c>
      <c r="L149" s="1277">
        <f t="shared" si="376"/>
        <v>0</v>
      </c>
      <c r="M149" s="1277">
        <f t="shared" si="376"/>
        <v>0</v>
      </c>
      <c r="N149" s="1689" t="str">
        <f t="shared" si="377"/>
        <v>-</v>
      </c>
      <c r="O149" s="1047"/>
      <c r="P149" s="1048"/>
      <c r="Q149" s="1048"/>
      <c r="R149" s="1699" t="str">
        <f t="shared" si="378"/>
        <v>-</v>
      </c>
      <c r="S149" s="1047"/>
      <c r="T149" s="1048"/>
      <c r="U149" s="1048"/>
      <c r="V149" s="1699" t="str">
        <f t="shared" si="379"/>
        <v>-</v>
      </c>
      <c r="W149" s="1047"/>
      <c r="X149" s="1048"/>
      <c r="Y149" s="1048"/>
      <c r="Z149" s="1699" t="str">
        <f t="shared" si="380"/>
        <v>-</v>
      </c>
      <c r="AA149" s="1047"/>
      <c r="AB149" s="1048"/>
      <c r="AC149" s="1048"/>
      <c r="AD149" s="1699" t="str">
        <f t="shared" si="381"/>
        <v>-</v>
      </c>
      <c r="AE149" s="1276">
        <f t="shared" si="382"/>
        <v>0</v>
      </c>
      <c r="AF149" s="1277">
        <f t="shared" si="382"/>
        <v>0</v>
      </c>
      <c r="AG149" s="1277">
        <f t="shared" si="382"/>
        <v>0</v>
      </c>
      <c r="AH149" s="1689" t="str">
        <f t="shared" si="383"/>
        <v>-</v>
      </c>
      <c r="AI149" s="1047"/>
      <c r="AJ149" s="1048"/>
      <c r="AK149" s="1048"/>
      <c r="AL149" s="1699" t="str">
        <f t="shared" si="384"/>
        <v>-</v>
      </c>
      <c r="AM149" s="1047"/>
      <c r="AN149" s="1048"/>
      <c r="AO149" s="1048"/>
      <c r="AP149" s="1699" t="str">
        <f t="shared" si="385"/>
        <v>-</v>
      </c>
      <c r="AQ149" s="1047"/>
      <c r="AR149" s="1048"/>
      <c r="AS149" s="1048"/>
      <c r="AT149" s="1699" t="str">
        <f t="shared" si="386"/>
        <v>-</v>
      </c>
      <c r="AU149" s="442"/>
      <c r="AV149" s="442"/>
      <c r="AW149" s="442"/>
      <c r="AX149" s="442"/>
      <c r="AY149" s="442"/>
    </row>
    <row r="150" spans="1:51">
      <c r="A150" s="483">
        <f t="shared" ref="A150:A151" si="387">+A149+1</f>
        <v>118</v>
      </c>
      <c r="B150" s="1781">
        <v>32</v>
      </c>
      <c r="C150" s="1059" t="s">
        <v>1037</v>
      </c>
      <c r="D150" s="860" t="s">
        <v>1036</v>
      </c>
      <c r="E150" s="1060" t="s">
        <v>1278</v>
      </c>
      <c r="F150" s="1073" t="s">
        <v>1035</v>
      </c>
      <c r="G150" s="1276">
        <f t="shared" si="374"/>
        <v>0</v>
      </c>
      <c r="H150" s="1277">
        <f t="shared" si="374"/>
        <v>0</v>
      </c>
      <c r="I150" s="1277">
        <f t="shared" si="374"/>
        <v>0</v>
      </c>
      <c r="J150" s="1689" t="str">
        <f t="shared" si="375"/>
        <v>-</v>
      </c>
      <c r="K150" s="1276">
        <f t="shared" si="376"/>
        <v>0</v>
      </c>
      <c r="L150" s="1277">
        <f t="shared" si="376"/>
        <v>0</v>
      </c>
      <c r="M150" s="1277">
        <f t="shared" si="376"/>
        <v>0</v>
      </c>
      <c r="N150" s="1689" t="str">
        <f t="shared" si="377"/>
        <v>-</v>
      </c>
      <c r="O150" s="1047"/>
      <c r="P150" s="1048"/>
      <c r="Q150" s="1048"/>
      <c r="R150" s="1699" t="str">
        <f t="shared" si="378"/>
        <v>-</v>
      </c>
      <c r="S150" s="1047"/>
      <c r="T150" s="1048"/>
      <c r="U150" s="1048"/>
      <c r="V150" s="1699" t="str">
        <f t="shared" si="379"/>
        <v>-</v>
      </c>
      <c r="W150" s="1047"/>
      <c r="X150" s="1048"/>
      <c r="Y150" s="1048"/>
      <c r="Z150" s="1699" t="str">
        <f t="shared" si="380"/>
        <v>-</v>
      </c>
      <c r="AA150" s="1047"/>
      <c r="AB150" s="1048"/>
      <c r="AC150" s="1048"/>
      <c r="AD150" s="1699" t="str">
        <f t="shared" si="381"/>
        <v>-</v>
      </c>
      <c r="AE150" s="1276">
        <f t="shared" si="382"/>
        <v>0</v>
      </c>
      <c r="AF150" s="1277">
        <f t="shared" si="382"/>
        <v>0</v>
      </c>
      <c r="AG150" s="1277">
        <f t="shared" si="382"/>
        <v>0</v>
      </c>
      <c r="AH150" s="1689" t="str">
        <f t="shared" si="383"/>
        <v>-</v>
      </c>
      <c r="AI150" s="1047"/>
      <c r="AJ150" s="1048"/>
      <c r="AK150" s="1048"/>
      <c r="AL150" s="1699" t="str">
        <f t="shared" si="384"/>
        <v>-</v>
      </c>
      <c r="AM150" s="1047"/>
      <c r="AN150" s="1048"/>
      <c r="AO150" s="1048"/>
      <c r="AP150" s="1699" t="str">
        <f t="shared" si="385"/>
        <v>-</v>
      </c>
      <c r="AQ150" s="1047"/>
      <c r="AR150" s="1048"/>
      <c r="AS150" s="1048"/>
      <c r="AT150" s="1699" t="str">
        <f t="shared" si="386"/>
        <v>-</v>
      </c>
      <c r="AU150" s="442"/>
      <c r="AV150" s="442"/>
      <c r="AW150" s="442"/>
      <c r="AX150" s="442"/>
      <c r="AY150" s="442"/>
    </row>
    <row r="151" spans="1:51" ht="12.75" thickBot="1">
      <c r="A151" s="483">
        <f t="shared" si="387"/>
        <v>119</v>
      </c>
      <c r="B151" s="1781">
        <v>32</v>
      </c>
      <c r="C151" s="1059" t="s">
        <v>1011</v>
      </c>
      <c r="D151" s="860" t="s">
        <v>1012</v>
      </c>
      <c r="E151" s="1060" t="s">
        <v>1277</v>
      </c>
      <c r="F151" s="1073" t="s">
        <v>1034</v>
      </c>
      <c r="G151" s="1276">
        <f t="shared" si="374"/>
        <v>0</v>
      </c>
      <c r="H151" s="1277">
        <f t="shared" si="374"/>
        <v>0</v>
      </c>
      <c r="I151" s="1277">
        <f t="shared" si="374"/>
        <v>0</v>
      </c>
      <c r="J151" s="1689" t="str">
        <f t="shared" si="375"/>
        <v>-</v>
      </c>
      <c r="K151" s="1276">
        <f t="shared" si="376"/>
        <v>0</v>
      </c>
      <c r="L151" s="1277">
        <f t="shared" si="376"/>
        <v>0</v>
      </c>
      <c r="M151" s="1277">
        <f t="shared" si="376"/>
        <v>0</v>
      </c>
      <c r="N151" s="1689" t="str">
        <f t="shared" si="377"/>
        <v>-</v>
      </c>
      <c r="O151" s="1047"/>
      <c r="P151" s="1048"/>
      <c r="Q151" s="1048"/>
      <c r="R151" s="1699" t="str">
        <f t="shared" si="378"/>
        <v>-</v>
      </c>
      <c r="S151" s="1047"/>
      <c r="T151" s="1048"/>
      <c r="U151" s="1048"/>
      <c r="V151" s="1699" t="str">
        <f t="shared" si="379"/>
        <v>-</v>
      </c>
      <c r="W151" s="1047"/>
      <c r="X151" s="1048"/>
      <c r="Y151" s="1048"/>
      <c r="Z151" s="1699" t="str">
        <f t="shared" si="380"/>
        <v>-</v>
      </c>
      <c r="AA151" s="1047"/>
      <c r="AB151" s="1048"/>
      <c r="AC151" s="1048"/>
      <c r="AD151" s="1699" t="str">
        <f t="shared" si="381"/>
        <v>-</v>
      </c>
      <c r="AE151" s="1276">
        <f t="shared" si="382"/>
        <v>0</v>
      </c>
      <c r="AF151" s="1277">
        <f t="shared" si="382"/>
        <v>0</v>
      </c>
      <c r="AG151" s="1277">
        <f t="shared" si="382"/>
        <v>0</v>
      </c>
      <c r="AH151" s="1689" t="str">
        <f t="shared" si="383"/>
        <v>-</v>
      </c>
      <c r="AI151" s="1047"/>
      <c r="AJ151" s="1048"/>
      <c r="AK151" s="1048"/>
      <c r="AL151" s="1699" t="str">
        <f t="shared" si="384"/>
        <v>-</v>
      </c>
      <c r="AM151" s="1047"/>
      <c r="AN151" s="1048"/>
      <c r="AO151" s="1048"/>
      <c r="AP151" s="1699" t="str">
        <f t="shared" si="385"/>
        <v>-</v>
      </c>
      <c r="AQ151" s="1047"/>
      <c r="AR151" s="1048"/>
      <c r="AS151" s="1048"/>
      <c r="AT151" s="1699" t="str">
        <f t="shared" si="386"/>
        <v>-</v>
      </c>
      <c r="AU151" s="442"/>
      <c r="AV151" s="442"/>
      <c r="AW151" s="442"/>
      <c r="AX151" s="442"/>
      <c r="AY151" s="442"/>
    </row>
    <row r="152" spans="1:51" s="440" customFormat="1" ht="12.75" customHeight="1" thickBot="1">
      <c r="A152" s="479" t="s">
        <v>1157</v>
      </c>
      <c r="B152" s="1771"/>
      <c r="C152" s="1906" t="s">
        <v>1109</v>
      </c>
      <c r="D152" s="1907"/>
      <c r="E152" s="1907"/>
      <c r="F152" s="1908"/>
      <c r="G152" s="469">
        <f t="shared" ref="G152" si="388">SUM(G147:G151)</f>
        <v>0</v>
      </c>
      <c r="H152" s="470">
        <f t="shared" ref="H152:I152" si="389">SUM(H147:H151)</f>
        <v>0</v>
      </c>
      <c r="I152" s="470">
        <f t="shared" si="389"/>
        <v>0</v>
      </c>
      <c r="J152" s="1635" t="str">
        <f t="shared" si="375"/>
        <v>-</v>
      </c>
      <c r="K152" s="469">
        <f t="shared" ref="K152:AQ152" si="390">SUM(K147:K151)</f>
        <v>0</v>
      </c>
      <c r="L152" s="470">
        <f t="shared" ref="L152:M152" si="391">SUM(L147:L151)</f>
        <v>0</v>
      </c>
      <c r="M152" s="470">
        <f t="shared" si="391"/>
        <v>0</v>
      </c>
      <c r="N152" s="1635" t="str">
        <f t="shared" si="377"/>
        <v>-</v>
      </c>
      <c r="O152" s="451">
        <f t="shared" si="390"/>
        <v>0</v>
      </c>
      <c r="P152" s="321">
        <f t="shared" ref="P152:Q152" si="392">SUM(P147:P151)</f>
        <v>0</v>
      </c>
      <c r="Q152" s="321">
        <f t="shared" si="392"/>
        <v>0</v>
      </c>
      <c r="R152" s="1638" t="str">
        <f t="shared" si="378"/>
        <v>-</v>
      </c>
      <c r="S152" s="451">
        <f t="shared" si="390"/>
        <v>0</v>
      </c>
      <c r="T152" s="321">
        <f t="shared" ref="T152:U152" si="393">SUM(T147:T151)</f>
        <v>0</v>
      </c>
      <c r="U152" s="321">
        <f t="shared" si="393"/>
        <v>0</v>
      </c>
      <c r="V152" s="1638" t="str">
        <f t="shared" si="379"/>
        <v>-</v>
      </c>
      <c r="W152" s="451">
        <f t="shared" si="390"/>
        <v>0</v>
      </c>
      <c r="X152" s="321">
        <f t="shared" ref="X152:Y152" si="394">SUM(X147:X151)</f>
        <v>0</v>
      </c>
      <c r="Y152" s="321">
        <f t="shared" si="394"/>
        <v>0</v>
      </c>
      <c r="Z152" s="1638" t="str">
        <f t="shared" si="380"/>
        <v>-</v>
      </c>
      <c r="AA152" s="451">
        <f t="shared" si="390"/>
        <v>0</v>
      </c>
      <c r="AB152" s="321">
        <f t="shared" ref="AB152:AC152" si="395">SUM(AB147:AB151)</f>
        <v>0</v>
      </c>
      <c r="AC152" s="321">
        <f t="shared" si="395"/>
        <v>0</v>
      </c>
      <c r="AD152" s="1638" t="str">
        <f t="shared" si="381"/>
        <v>-</v>
      </c>
      <c r="AE152" s="469">
        <f t="shared" si="390"/>
        <v>0</v>
      </c>
      <c r="AF152" s="470">
        <f t="shared" ref="AF152:AG152" si="396">SUM(AF147:AF151)</f>
        <v>0</v>
      </c>
      <c r="AG152" s="470">
        <f t="shared" si="396"/>
        <v>0</v>
      </c>
      <c r="AH152" s="1635" t="str">
        <f t="shared" si="383"/>
        <v>-</v>
      </c>
      <c r="AI152" s="451">
        <f t="shared" si="390"/>
        <v>0</v>
      </c>
      <c r="AJ152" s="321">
        <f t="shared" ref="AJ152:AK152" si="397">SUM(AJ147:AJ151)</f>
        <v>0</v>
      </c>
      <c r="AK152" s="321">
        <f t="shared" si="397"/>
        <v>0</v>
      </c>
      <c r="AL152" s="1638" t="str">
        <f t="shared" si="384"/>
        <v>-</v>
      </c>
      <c r="AM152" s="451">
        <f t="shared" si="390"/>
        <v>0</v>
      </c>
      <c r="AN152" s="321">
        <f t="shared" ref="AN152:AO152" si="398">SUM(AN147:AN151)</f>
        <v>0</v>
      </c>
      <c r="AO152" s="321">
        <f t="shared" si="398"/>
        <v>0</v>
      </c>
      <c r="AP152" s="1638" t="str">
        <f t="shared" si="385"/>
        <v>-</v>
      </c>
      <c r="AQ152" s="451">
        <f t="shared" si="390"/>
        <v>0</v>
      </c>
      <c r="AR152" s="321">
        <f t="shared" ref="AR152:AS152" si="399">SUM(AR147:AR151)</f>
        <v>0</v>
      </c>
      <c r="AS152" s="321">
        <f t="shared" si="399"/>
        <v>0</v>
      </c>
      <c r="AT152" s="1638" t="str">
        <f t="shared" si="386"/>
        <v>-</v>
      </c>
      <c r="AU152" s="442"/>
      <c r="AV152" s="442"/>
      <c r="AW152" s="442"/>
      <c r="AX152" s="442"/>
      <c r="AY152" s="442"/>
    </row>
    <row r="153" spans="1:51" s="444" customFormat="1" ht="12.75" customHeight="1" thickBot="1">
      <c r="A153" s="485">
        <f>A151+1</f>
        <v>120</v>
      </c>
      <c r="B153" s="1785">
        <v>33</v>
      </c>
      <c r="C153" s="834" t="s">
        <v>19</v>
      </c>
      <c r="D153" s="476" t="s">
        <v>19</v>
      </c>
      <c r="E153" s="829" t="s">
        <v>19</v>
      </c>
      <c r="F153" s="1075" t="s">
        <v>19</v>
      </c>
      <c r="G153" s="1286">
        <f>+K153+AE153</f>
        <v>0</v>
      </c>
      <c r="H153" s="1287">
        <f>+L153+AF153</f>
        <v>0</v>
      </c>
      <c r="I153" s="1287">
        <f>+M153+AG153</f>
        <v>0</v>
      </c>
      <c r="J153" s="1695" t="str">
        <f t="shared" si="375"/>
        <v>-</v>
      </c>
      <c r="K153" s="1286">
        <f>+O153+S153+W153+AA153</f>
        <v>0</v>
      </c>
      <c r="L153" s="1287">
        <f>+P153+T153+X153+AB153</f>
        <v>0</v>
      </c>
      <c r="M153" s="1287">
        <f>+Q153+U153+Y153+AC153</f>
        <v>0</v>
      </c>
      <c r="N153" s="1695" t="str">
        <f t="shared" si="377"/>
        <v>-</v>
      </c>
      <c r="O153" s="448"/>
      <c r="P153" s="447"/>
      <c r="Q153" s="447"/>
      <c r="R153" s="1702" t="str">
        <f t="shared" si="378"/>
        <v>-</v>
      </c>
      <c r="S153" s="448"/>
      <c r="T153" s="447"/>
      <c r="U153" s="447"/>
      <c r="V153" s="1702" t="str">
        <f t="shared" si="379"/>
        <v>-</v>
      </c>
      <c r="W153" s="448"/>
      <c r="X153" s="447"/>
      <c r="Y153" s="447"/>
      <c r="Z153" s="1702" t="str">
        <f t="shared" si="380"/>
        <v>-</v>
      </c>
      <c r="AA153" s="448"/>
      <c r="AB153" s="447"/>
      <c r="AC153" s="447"/>
      <c r="AD153" s="1702" t="str">
        <f t="shared" si="381"/>
        <v>-</v>
      </c>
      <c r="AE153" s="1286">
        <f>+AI153+AM153+AQ153</f>
        <v>0</v>
      </c>
      <c r="AF153" s="1287">
        <f>+AJ153+AN153+AR153</f>
        <v>0</v>
      </c>
      <c r="AG153" s="1287">
        <f>+AK153+AO153+AS153</f>
        <v>0</v>
      </c>
      <c r="AH153" s="1695" t="str">
        <f t="shared" si="383"/>
        <v>-</v>
      </c>
      <c r="AI153" s="448"/>
      <c r="AJ153" s="447"/>
      <c r="AK153" s="447"/>
      <c r="AL153" s="1702" t="str">
        <f t="shared" si="384"/>
        <v>-</v>
      </c>
      <c r="AM153" s="448"/>
      <c r="AN153" s="447"/>
      <c r="AO153" s="447"/>
      <c r="AP153" s="1702" t="str">
        <f t="shared" si="385"/>
        <v>-</v>
      </c>
      <c r="AQ153" s="448"/>
      <c r="AR153" s="447"/>
      <c r="AS153" s="447"/>
      <c r="AT153" s="1702" t="str">
        <f t="shared" si="386"/>
        <v>-</v>
      </c>
      <c r="AU153" s="442"/>
      <c r="AV153" s="442"/>
      <c r="AW153" s="442"/>
      <c r="AX153" s="442"/>
      <c r="AY153" s="442"/>
    </row>
    <row r="154" spans="1:51" s="440" customFormat="1" ht="12.75" customHeight="1" thickBot="1">
      <c r="A154" s="479" t="s">
        <v>1158</v>
      </c>
      <c r="B154" s="1771"/>
      <c r="C154" s="1906" t="s">
        <v>1110</v>
      </c>
      <c r="D154" s="1907"/>
      <c r="E154" s="1907"/>
      <c r="F154" s="1908"/>
      <c r="G154" s="469">
        <f>SUM(G153)</f>
        <v>0</v>
      </c>
      <c r="H154" s="470">
        <f>SUM(H153)</f>
        <v>0</v>
      </c>
      <c r="I154" s="470">
        <f>SUM(I153)</f>
        <v>0</v>
      </c>
      <c r="J154" s="1635" t="str">
        <f t="shared" si="375"/>
        <v>-</v>
      </c>
      <c r="K154" s="469">
        <f t="shared" ref="K154" si="400">SUM(K153)</f>
        <v>0</v>
      </c>
      <c r="L154" s="470">
        <f t="shared" ref="L154:M154" si="401">SUM(L153)</f>
        <v>0</v>
      </c>
      <c r="M154" s="470">
        <f t="shared" si="401"/>
        <v>0</v>
      </c>
      <c r="N154" s="1635" t="str">
        <f t="shared" si="377"/>
        <v>-</v>
      </c>
      <c r="O154" s="451">
        <f t="shared" ref="O154:AQ154" si="402">SUM(O153)</f>
        <v>0</v>
      </c>
      <c r="P154" s="321">
        <f t="shared" ref="P154:Q154" si="403">SUM(P153)</f>
        <v>0</v>
      </c>
      <c r="Q154" s="321">
        <f t="shared" si="403"/>
        <v>0</v>
      </c>
      <c r="R154" s="1638" t="str">
        <f t="shared" si="378"/>
        <v>-</v>
      </c>
      <c r="S154" s="451">
        <f t="shared" si="402"/>
        <v>0</v>
      </c>
      <c r="T154" s="321">
        <f t="shared" ref="T154:U154" si="404">SUM(T153)</f>
        <v>0</v>
      </c>
      <c r="U154" s="321">
        <f t="shared" si="404"/>
        <v>0</v>
      </c>
      <c r="V154" s="1638" t="str">
        <f t="shared" si="379"/>
        <v>-</v>
      </c>
      <c r="W154" s="451">
        <f t="shared" si="402"/>
        <v>0</v>
      </c>
      <c r="X154" s="321">
        <f t="shared" ref="X154:Y154" si="405">SUM(X153)</f>
        <v>0</v>
      </c>
      <c r="Y154" s="321">
        <f t="shared" si="405"/>
        <v>0</v>
      </c>
      <c r="Z154" s="1638" t="str">
        <f t="shared" si="380"/>
        <v>-</v>
      </c>
      <c r="AA154" s="451">
        <f t="shared" si="402"/>
        <v>0</v>
      </c>
      <c r="AB154" s="321">
        <f t="shared" ref="AB154:AC154" si="406">SUM(AB153)</f>
        <v>0</v>
      </c>
      <c r="AC154" s="321">
        <f t="shared" si="406"/>
        <v>0</v>
      </c>
      <c r="AD154" s="1638" t="str">
        <f t="shared" si="381"/>
        <v>-</v>
      </c>
      <c r="AE154" s="469">
        <f t="shared" si="402"/>
        <v>0</v>
      </c>
      <c r="AF154" s="470">
        <f t="shared" ref="AF154:AG154" si="407">SUM(AF153)</f>
        <v>0</v>
      </c>
      <c r="AG154" s="470">
        <f t="shared" si="407"/>
        <v>0</v>
      </c>
      <c r="AH154" s="1635" t="str">
        <f t="shared" si="383"/>
        <v>-</v>
      </c>
      <c r="AI154" s="451">
        <f t="shared" si="402"/>
        <v>0</v>
      </c>
      <c r="AJ154" s="321">
        <f t="shared" ref="AJ154:AK154" si="408">SUM(AJ153)</f>
        <v>0</v>
      </c>
      <c r="AK154" s="321">
        <f t="shared" si="408"/>
        <v>0</v>
      </c>
      <c r="AL154" s="1638" t="str">
        <f t="shared" si="384"/>
        <v>-</v>
      </c>
      <c r="AM154" s="451">
        <f t="shared" si="402"/>
        <v>0</v>
      </c>
      <c r="AN154" s="321">
        <f t="shared" ref="AN154:AO154" si="409">SUM(AN153)</f>
        <v>0</v>
      </c>
      <c r="AO154" s="321">
        <f t="shared" si="409"/>
        <v>0</v>
      </c>
      <c r="AP154" s="1638" t="str">
        <f t="shared" si="385"/>
        <v>-</v>
      </c>
      <c r="AQ154" s="451">
        <f t="shared" si="402"/>
        <v>0</v>
      </c>
      <c r="AR154" s="321">
        <f t="shared" ref="AR154:AS154" si="410">SUM(AR153)</f>
        <v>0</v>
      </c>
      <c r="AS154" s="321">
        <f t="shared" si="410"/>
        <v>0</v>
      </c>
      <c r="AT154" s="1638" t="str">
        <f t="shared" si="386"/>
        <v>-</v>
      </c>
      <c r="AU154" s="442"/>
      <c r="AV154" s="442"/>
      <c r="AW154" s="442"/>
      <c r="AX154" s="442"/>
      <c r="AY154" s="442"/>
    </row>
    <row r="155" spans="1:51" s="444" customFormat="1" ht="12.75" customHeight="1" thickBot="1">
      <c r="A155" s="485">
        <f>+A153+1</f>
        <v>121</v>
      </c>
      <c r="B155" s="1785">
        <v>34</v>
      </c>
      <c r="C155" s="834" t="s">
        <v>19</v>
      </c>
      <c r="D155" s="476" t="s">
        <v>19</v>
      </c>
      <c r="E155" s="829" t="s">
        <v>19</v>
      </c>
      <c r="F155" s="1075" t="s">
        <v>19</v>
      </c>
      <c r="G155" s="1286">
        <f>+K155+AE155</f>
        <v>0</v>
      </c>
      <c r="H155" s="1287">
        <f>+L155+AF155</f>
        <v>0</v>
      </c>
      <c r="I155" s="1287">
        <f>+M155+AG155</f>
        <v>0</v>
      </c>
      <c r="J155" s="1695" t="str">
        <f t="shared" si="375"/>
        <v>-</v>
      </c>
      <c r="K155" s="1286">
        <f>+O155+S155+W155+AA155</f>
        <v>0</v>
      </c>
      <c r="L155" s="1287">
        <f>+P155+T155+X155+AB155</f>
        <v>0</v>
      </c>
      <c r="M155" s="1287">
        <f>+Q155+U155+Y155+AC155</f>
        <v>0</v>
      </c>
      <c r="N155" s="1695" t="str">
        <f t="shared" si="377"/>
        <v>-</v>
      </c>
      <c r="O155" s="448"/>
      <c r="P155" s="447"/>
      <c r="Q155" s="447"/>
      <c r="R155" s="1702" t="str">
        <f t="shared" si="378"/>
        <v>-</v>
      </c>
      <c r="S155" s="448"/>
      <c r="T155" s="447"/>
      <c r="U155" s="447"/>
      <c r="V155" s="1702" t="str">
        <f t="shared" si="379"/>
        <v>-</v>
      </c>
      <c r="W155" s="448"/>
      <c r="X155" s="447"/>
      <c r="Y155" s="447"/>
      <c r="Z155" s="1702" t="str">
        <f t="shared" si="380"/>
        <v>-</v>
      </c>
      <c r="AA155" s="448"/>
      <c r="AB155" s="447"/>
      <c r="AC155" s="447"/>
      <c r="AD155" s="1702" t="str">
        <f t="shared" si="381"/>
        <v>-</v>
      </c>
      <c r="AE155" s="1286">
        <f>+AI155+AM155+AQ155</f>
        <v>0</v>
      </c>
      <c r="AF155" s="1287">
        <f>+AJ155+AN155+AR155</f>
        <v>0</v>
      </c>
      <c r="AG155" s="1287">
        <f>+AK155+AO155+AS155</f>
        <v>0</v>
      </c>
      <c r="AH155" s="1695" t="str">
        <f t="shared" si="383"/>
        <v>-</v>
      </c>
      <c r="AI155" s="448"/>
      <c r="AJ155" s="447"/>
      <c r="AK155" s="447"/>
      <c r="AL155" s="1702" t="str">
        <f t="shared" si="384"/>
        <v>-</v>
      </c>
      <c r="AM155" s="448"/>
      <c r="AN155" s="447"/>
      <c r="AO155" s="447"/>
      <c r="AP155" s="1702" t="str">
        <f t="shared" si="385"/>
        <v>-</v>
      </c>
      <c r="AQ155" s="448"/>
      <c r="AR155" s="447"/>
      <c r="AS155" s="447"/>
      <c r="AT155" s="1702" t="str">
        <f t="shared" si="386"/>
        <v>-</v>
      </c>
      <c r="AU155" s="442"/>
      <c r="AV155" s="442"/>
      <c r="AW155" s="442"/>
      <c r="AX155" s="442"/>
      <c r="AY155" s="442"/>
    </row>
    <row r="156" spans="1:51" s="440" customFormat="1" ht="12.75" customHeight="1" thickBot="1">
      <c r="A156" s="479" t="s">
        <v>1159</v>
      </c>
      <c r="B156" s="1771"/>
      <c r="C156" s="1906" t="s">
        <v>1111</v>
      </c>
      <c r="D156" s="1907"/>
      <c r="E156" s="1907"/>
      <c r="F156" s="1908"/>
      <c r="G156" s="469">
        <f>SUM(G155)</f>
        <v>0</v>
      </c>
      <c r="H156" s="470">
        <f>SUM(H155)</f>
        <v>0</v>
      </c>
      <c r="I156" s="470">
        <f>SUM(I155)</f>
        <v>0</v>
      </c>
      <c r="J156" s="1635" t="str">
        <f t="shared" si="375"/>
        <v>-</v>
      </c>
      <c r="K156" s="469">
        <f t="shared" ref="K156" si="411">SUM(K155)</f>
        <v>0</v>
      </c>
      <c r="L156" s="470">
        <f t="shared" ref="L156:M156" si="412">SUM(L155)</f>
        <v>0</v>
      </c>
      <c r="M156" s="470">
        <f t="shared" si="412"/>
        <v>0</v>
      </c>
      <c r="N156" s="1635" t="str">
        <f t="shared" si="377"/>
        <v>-</v>
      </c>
      <c r="O156" s="451">
        <f t="shared" ref="O156:AQ156" si="413">SUM(O155)</f>
        <v>0</v>
      </c>
      <c r="P156" s="321">
        <f t="shared" ref="P156:Q156" si="414">SUM(P155)</f>
        <v>0</v>
      </c>
      <c r="Q156" s="321">
        <f t="shared" si="414"/>
        <v>0</v>
      </c>
      <c r="R156" s="1638" t="str">
        <f t="shared" si="378"/>
        <v>-</v>
      </c>
      <c r="S156" s="451">
        <f t="shared" si="413"/>
        <v>0</v>
      </c>
      <c r="T156" s="321">
        <f t="shared" ref="T156:U156" si="415">SUM(T155)</f>
        <v>0</v>
      </c>
      <c r="U156" s="321">
        <f t="shared" si="415"/>
        <v>0</v>
      </c>
      <c r="V156" s="1638" t="str">
        <f t="shared" si="379"/>
        <v>-</v>
      </c>
      <c r="W156" s="451">
        <f t="shared" si="413"/>
        <v>0</v>
      </c>
      <c r="X156" s="321">
        <f t="shared" ref="X156:Y156" si="416">SUM(X155)</f>
        <v>0</v>
      </c>
      <c r="Y156" s="321">
        <f t="shared" si="416"/>
        <v>0</v>
      </c>
      <c r="Z156" s="1638" t="str">
        <f t="shared" si="380"/>
        <v>-</v>
      </c>
      <c r="AA156" s="451">
        <f t="shared" si="413"/>
        <v>0</v>
      </c>
      <c r="AB156" s="321">
        <f t="shared" ref="AB156:AC156" si="417">SUM(AB155)</f>
        <v>0</v>
      </c>
      <c r="AC156" s="321">
        <f t="shared" si="417"/>
        <v>0</v>
      </c>
      <c r="AD156" s="1638" t="str">
        <f t="shared" si="381"/>
        <v>-</v>
      </c>
      <c r="AE156" s="469">
        <f t="shared" si="413"/>
        <v>0</v>
      </c>
      <c r="AF156" s="470">
        <f t="shared" ref="AF156:AG156" si="418">SUM(AF155)</f>
        <v>0</v>
      </c>
      <c r="AG156" s="470">
        <f t="shared" si="418"/>
        <v>0</v>
      </c>
      <c r="AH156" s="1635" t="str">
        <f t="shared" si="383"/>
        <v>-</v>
      </c>
      <c r="AI156" s="451">
        <f t="shared" si="413"/>
        <v>0</v>
      </c>
      <c r="AJ156" s="321">
        <f t="shared" ref="AJ156:AK156" si="419">SUM(AJ155)</f>
        <v>0</v>
      </c>
      <c r="AK156" s="321">
        <f t="shared" si="419"/>
        <v>0</v>
      </c>
      <c r="AL156" s="1638" t="str">
        <f t="shared" si="384"/>
        <v>-</v>
      </c>
      <c r="AM156" s="451">
        <f t="shared" si="413"/>
        <v>0</v>
      </c>
      <c r="AN156" s="321">
        <f t="shared" ref="AN156:AO156" si="420">SUM(AN155)</f>
        <v>0</v>
      </c>
      <c r="AO156" s="321">
        <f t="shared" si="420"/>
        <v>0</v>
      </c>
      <c r="AP156" s="1638" t="str">
        <f t="shared" si="385"/>
        <v>-</v>
      </c>
      <c r="AQ156" s="451">
        <f t="shared" si="413"/>
        <v>0</v>
      </c>
      <c r="AR156" s="321">
        <f t="shared" ref="AR156:AS156" si="421">SUM(AR155)</f>
        <v>0</v>
      </c>
      <c r="AS156" s="321">
        <f t="shared" si="421"/>
        <v>0</v>
      </c>
      <c r="AT156" s="1638" t="str">
        <f t="shared" si="386"/>
        <v>-</v>
      </c>
      <c r="AU156" s="442"/>
      <c r="AV156" s="442"/>
      <c r="AW156" s="442"/>
      <c r="AX156" s="442"/>
      <c r="AY156" s="442"/>
    </row>
    <row r="157" spans="1:51" s="440" customFormat="1" ht="12.75" customHeight="1" thickBot="1">
      <c r="A157" s="480" t="s">
        <v>42</v>
      </c>
      <c r="B157" s="1782"/>
      <c r="C157" s="1900" t="s">
        <v>1112</v>
      </c>
      <c r="D157" s="1901"/>
      <c r="E157" s="1901"/>
      <c r="F157" s="1902"/>
      <c r="G157" s="453">
        <f t="shared" ref="G157" si="422">+G152+G154+G156</f>
        <v>0</v>
      </c>
      <c r="H157" s="454">
        <f t="shared" ref="H157:I157" si="423">+H152+H154+H156</f>
        <v>0</v>
      </c>
      <c r="I157" s="454">
        <f t="shared" si="423"/>
        <v>0</v>
      </c>
      <c r="J157" s="1692" t="str">
        <f t="shared" si="375"/>
        <v>-</v>
      </c>
      <c r="K157" s="453">
        <f t="shared" ref="K157:AQ157" si="424">+K152+K154+K156</f>
        <v>0</v>
      </c>
      <c r="L157" s="454">
        <f t="shared" ref="L157:M157" si="425">+L152+L154+L156</f>
        <v>0</v>
      </c>
      <c r="M157" s="454">
        <f t="shared" si="425"/>
        <v>0</v>
      </c>
      <c r="N157" s="1692" t="str">
        <f t="shared" si="377"/>
        <v>-</v>
      </c>
      <c r="O157" s="463">
        <f t="shared" si="424"/>
        <v>0</v>
      </c>
      <c r="P157" s="464">
        <f t="shared" ref="P157:Q157" si="426">+P152+P154+P156</f>
        <v>0</v>
      </c>
      <c r="Q157" s="464">
        <f t="shared" si="426"/>
        <v>0</v>
      </c>
      <c r="R157" s="1696" t="str">
        <f t="shared" si="378"/>
        <v>-</v>
      </c>
      <c r="S157" s="463">
        <f t="shared" si="424"/>
        <v>0</v>
      </c>
      <c r="T157" s="464">
        <f t="shared" ref="T157:U157" si="427">+T152+T154+T156</f>
        <v>0</v>
      </c>
      <c r="U157" s="464">
        <f t="shared" si="427"/>
        <v>0</v>
      </c>
      <c r="V157" s="1696" t="str">
        <f t="shared" si="379"/>
        <v>-</v>
      </c>
      <c r="W157" s="463">
        <f t="shared" si="424"/>
        <v>0</v>
      </c>
      <c r="X157" s="464">
        <f t="shared" ref="X157:Y157" si="428">+X152+X154+X156</f>
        <v>0</v>
      </c>
      <c r="Y157" s="464">
        <f t="shared" si="428"/>
        <v>0</v>
      </c>
      <c r="Z157" s="1696" t="str">
        <f t="shared" si="380"/>
        <v>-</v>
      </c>
      <c r="AA157" s="463">
        <f t="shared" si="424"/>
        <v>0</v>
      </c>
      <c r="AB157" s="464">
        <f t="shared" ref="AB157:AC157" si="429">+AB152+AB154+AB156</f>
        <v>0</v>
      </c>
      <c r="AC157" s="464">
        <f t="shared" si="429"/>
        <v>0</v>
      </c>
      <c r="AD157" s="1696" t="str">
        <f t="shared" si="381"/>
        <v>-</v>
      </c>
      <c r="AE157" s="453">
        <f t="shared" si="424"/>
        <v>0</v>
      </c>
      <c r="AF157" s="454">
        <f t="shared" ref="AF157:AG157" si="430">+AF152+AF154+AF156</f>
        <v>0</v>
      </c>
      <c r="AG157" s="454">
        <f t="shared" si="430"/>
        <v>0</v>
      </c>
      <c r="AH157" s="1692" t="str">
        <f t="shared" si="383"/>
        <v>-</v>
      </c>
      <c r="AI157" s="463">
        <f t="shared" si="424"/>
        <v>0</v>
      </c>
      <c r="AJ157" s="464">
        <f t="shared" ref="AJ157:AK157" si="431">+AJ152+AJ154+AJ156</f>
        <v>0</v>
      </c>
      <c r="AK157" s="464">
        <f t="shared" si="431"/>
        <v>0</v>
      </c>
      <c r="AL157" s="1696" t="str">
        <f t="shared" si="384"/>
        <v>-</v>
      </c>
      <c r="AM157" s="463">
        <f t="shared" si="424"/>
        <v>0</v>
      </c>
      <c r="AN157" s="464">
        <f t="shared" ref="AN157:AO157" si="432">+AN152+AN154+AN156</f>
        <v>0</v>
      </c>
      <c r="AO157" s="464">
        <f t="shared" si="432"/>
        <v>0</v>
      </c>
      <c r="AP157" s="1696" t="str">
        <f t="shared" si="385"/>
        <v>-</v>
      </c>
      <c r="AQ157" s="463">
        <f t="shared" si="424"/>
        <v>0</v>
      </c>
      <c r="AR157" s="464">
        <f t="shared" ref="AR157:AS157" si="433">+AR152+AR154+AR156</f>
        <v>0</v>
      </c>
      <c r="AS157" s="464">
        <f t="shared" si="433"/>
        <v>0</v>
      </c>
      <c r="AT157" s="1696" t="str">
        <f t="shared" si="386"/>
        <v>-</v>
      </c>
      <c r="AU157" s="442"/>
      <c r="AV157" s="442"/>
      <c r="AW157" s="442"/>
      <c r="AX157" s="442"/>
      <c r="AY157" s="442"/>
    </row>
    <row r="158" spans="1:51" ht="12.75" thickBot="1">
      <c r="A158" s="485"/>
      <c r="B158" s="1785"/>
      <c r="C158" s="834"/>
      <c r="D158" s="476"/>
      <c r="E158" s="829"/>
      <c r="F158" s="465"/>
      <c r="G158" s="1286"/>
      <c r="H158" s="1287"/>
      <c r="I158" s="1287"/>
      <c r="J158" s="1695"/>
      <c r="K158" s="1286"/>
      <c r="L158" s="1287"/>
      <c r="M158" s="1287"/>
      <c r="N158" s="1695"/>
      <c r="O158" s="448"/>
      <c r="P158" s="447"/>
      <c r="Q158" s="447"/>
      <c r="R158" s="1702"/>
      <c r="S158" s="448"/>
      <c r="T158" s="447"/>
      <c r="U158" s="447"/>
      <c r="V158" s="1702"/>
      <c r="W158" s="448"/>
      <c r="X158" s="447"/>
      <c r="Y158" s="447"/>
      <c r="Z158" s="1702"/>
      <c r="AA158" s="448"/>
      <c r="AB158" s="447"/>
      <c r="AC158" s="447"/>
      <c r="AD158" s="1702"/>
      <c r="AE158" s="1286"/>
      <c r="AF158" s="1287"/>
      <c r="AG158" s="1287"/>
      <c r="AH158" s="1695"/>
      <c r="AI158" s="448"/>
      <c r="AJ158" s="447"/>
      <c r="AK158" s="447"/>
      <c r="AL158" s="1702"/>
      <c r="AM158" s="448"/>
      <c r="AN158" s="447"/>
      <c r="AO158" s="447"/>
      <c r="AP158" s="1702"/>
      <c r="AQ158" s="448"/>
      <c r="AR158" s="447"/>
      <c r="AS158" s="447"/>
      <c r="AT158" s="1702"/>
      <c r="AU158" s="442"/>
      <c r="AV158" s="442"/>
      <c r="AW158" s="442"/>
      <c r="AX158" s="442"/>
      <c r="AY158" s="442"/>
    </row>
    <row r="159" spans="1:51" ht="12.75" customHeight="1" thickBot="1">
      <c r="A159" s="480" t="s">
        <v>41</v>
      </c>
      <c r="B159" s="1782"/>
      <c r="C159" s="1900" t="s">
        <v>760</v>
      </c>
      <c r="D159" s="1901"/>
      <c r="E159" s="1901"/>
      <c r="F159" s="1902"/>
      <c r="G159" s="466">
        <f>+G91+G111+G124+G136+G145+G157</f>
        <v>1874448</v>
      </c>
      <c r="H159" s="467">
        <f>+H91+H111+H124+H136+H145+H157</f>
        <v>3451638</v>
      </c>
      <c r="I159" s="467">
        <f>+I91+I111+I124+I136+I145+I157</f>
        <v>3258557</v>
      </c>
      <c r="J159" s="1696">
        <f t="shared" ref="J159" si="434">IF(ISERROR(I159/H159),"-",I159/H159)</f>
        <v>0.94406105159347531</v>
      </c>
      <c r="K159" s="466">
        <f t="shared" ref="K159" si="435">+K91+K111+K124+K136+K145+K157</f>
        <v>1485199</v>
      </c>
      <c r="L159" s="467">
        <f t="shared" ref="L159:M159" si="436">+L91+L111+L124+L136+L145+L157</f>
        <v>2224500</v>
      </c>
      <c r="M159" s="467">
        <f t="shared" si="436"/>
        <v>2037989</v>
      </c>
      <c r="N159" s="1696">
        <f t="shared" ref="N159" si="437">IF(ISERROR(M159/L159),"-",M159/L159)</f>
        <v>0.91615599011013715</v>
      </c>
      <c r="O159" s="466">
        <f t="shared" ref="O159:AQ159" si="438">+O91+O111+O124+O136+O145+O157</f>
        <v>962806</v>
      </c>
      <c r="P159" s="467">
        <f t="shared" ref="P159:Q159" si="439">+P91+P111+P124+P136+P145+P157</f>
        <v>1466167</v>
      </c>
      <c r="Q159" s="467">
        <f t="shared" si="439"/>
        <v>1466167</v>
      </c>
      <c r="R159" s="1696">
        <f t="shared" ref="R159" si="440">IF(ISERROR(Q159/P159),"-",Q159/P159)</f>
        <v>1</v>
      </c>
      <c r="S159" s="466">
        <f t="shared" si="438"/>
        <v>384050</v>
      </c>
      <c r="T159" s="467">
        <f t="shared" ref="T159:U159" si="441">+T91+T111+T124+T136+T145+T157</f>
        <v>541722</v>
      </c>
      <c r="U159" s="467">
        <f t="shared" si="441"/>
        <v>394432</v>
      </c>
      <c r="V159" s="1696">
        <f t="shared" ref="V159" si="442">IF(ISERROR(U159/T159),"-",U159/T159)</f>
        <v>0.72810777483653977</v>
      </c>
      <c r="W159" s="466">
        <f t="shared" si="438"/>
        <v>132543</v>
      </c>
      <c r="X159" s="467">
        <f t="shared" ref="X159:Y159" si="443">+X91+X111+X124+X136+X145+X157</f>
        <v>161795</v>
      </c>
      <c r="Y159" s="467">
        <f t="shared" si="443"/>
        <v>129585</v>
      </c>
      <c r="Z159" s="1696">
        <f t="shared" ref="Z159" si="444">IF(ISERROR(Y159/X159),"-",Y159/X159)</f>
        <v>0.80092091844618185</v>
      </c>
      <c r="AA159" s="466">
        <f t="shared" si="438"/>
        <v>5800</v>
      </c>
      <c r="AB159" s="467">
        <f t="shared" ref="AB159:AC159" si="445">+AB91+AB111+AB124+AB136+AB145+AB157</f>
        <v>54816</v>
      </c>
      <c r="AC159" s="467">
        <f t="shared" si="445"/>
        <v>47805</v>
      </c>
      <c r="AD159" s="1696">
        <f t="shared" ref="AD159" si="446">IF(ISERROR(AC159/AB159),"-",AC159/AB159)</f>
        <v>0.87209938704028023</v>
      </c>
      <c r="AE159" s="466">
        <f t="shared" si="438"/>
        <v>389249</v>
      </c>
      <c r="AF159" s="467">
        <f t="shared" ref="AF159:AG159" si="447">+AF91+AF111+AF124+AF136+AF145+AF157</f>
        <v>1227138</v>
      </c>
      <c r="AG159" s="467">
        <f t="shared" si="447"/>
        <v>1220568</v>
      </c>
      <c r="AH159" s="1696">
        <f t="shared" ref="AH159" si="448">IF(ISERROR(AG159/AF159),"-",AG159/AF159)</f>
        <v>0.9946460789251087</v>
      </c>
      <c r="AI159" s="466">
        <f t="shared" si="438"/>
        <v>377399</v>
      </c>
      <c r="AJ159" s="467">
        <f t="shared" ref="AJ159:AK159" si="449">+AJ91+AJ111+AJ124+AJ136+AJ145+AJ157</f>
        <v>1215708</v>
      </c>
      <c r="AK159" s="467">
        <f t="shared" si="449"/>
        <v>1215708</v>
      </c>
      <c r="AL159" s="1696">
        <f t="shared" ref="AL159" si="450">IF(ISERROR(AK159/AJ159),"-",AK159/AJ159)</f>
        <v>1</v>
      </c>
      <c r="AM159" s="466">
        <f t="shared" si="438"/>
        <v>10350</v>
      </c>
      <c r="AN159" s="467">
        <f t="shared" ref="AN159:AO159" si="451">+AN91+AN111+AN124+AN136+AN145+AN157</f>
        <v>4878</v>
      </c>
      <c r="AO159" s="467">
        <f t="shared" si="451"/>
        <v>4022</v>
      </c>
      <c r="AP159" s="1696">
        <f t="shared" ref="AP159" si="452">IF(ISERROR(AO159/AN159),"-",AO159/AN159)</f>
        <v>0.82451824518245187</v>
      </c>
      <c r="AQ159" s="466">
        <f t="shared" si="438"/>
        <v>1500</v>
      </c>
      <c r="AR159" s="467">
        <f t="shared" ref="AR159:AS159" si="453">+AR91+AR111+AR124+AR136+AR145+AR157</f>
        <v>6552</v>
      </c>
      <c r="AS159" s="467">
        <f t="shared" si="453"/>
        <v>838</v>
      </c>
      <c r="AT159" s="1696">
        <f t="shared" ref="AT159" si="454">IF(ISERROR(AS159/AR159),"-",AS159/AR159)</f>
        <v>0.12789987789987789</v>
      </c>
      <c r="AU159" s="442"/>
      <c r="AV159" s="442"/>
      <c r="AW159" s="442"/>
      <c r="AX159" s="442"/>
      <c r="AY159" s="442"/>
    </row>
    <row r="160" spans="1:51">
      <c r="AU160" s="442"/>
      <c r="AV160" s="442"/>
      <c r="AW160" s="442"/>
      <c r="AX160" s="442"/>
      <c r="AY160" s="442"/>
    </row>
    <row r="161" spans="1:58">
      <c r="AU161" s="442"/>
      <c r="AV161" s="442"/>
      <c r="AW161" s="442"/>
      <c r="AX161" s="442"/>
      <c r="AY161" s="442"/>
    </row>
    <row r="162" spans="1:58">
      <c r="AU162" s="442"/>
      <c r="AV162" s="442"/>
      <c r="AW162" s="442"/>
      <c r="AX162" s="442"/>
      <c r="AY162" s="442"/>
    </row>
    <row r="163" spans="1:58">
      <c r="AU163" s="442"/>
      <c r="AV163" s="442"/>
      <c r="AW163" s="442"/>
      <c r="AX163" s="442"/>
      <c r="AY163" s="442"/>
    </row>
    <row r="165" spans="1:58" ht="15.75" customHeight="1">
      <c r="A165" s="1819" t="s">
        <v>775</v>
      </c>
      <c r="B165" s="1819"/>
      <c r="C165" s="1819"/>
      <c r="D165" s="1819"/>
      <c r="E165" s="1819"/>
      <c r="F165" s="1819"/>
      <c r="G165" s="1819"/>
      <c r="H165" s="1819"/>
      <c r="I165" s="1819"/>
      <c r="J165" s="1819"/>
      <c r="K165" s="1819"/>
      <c r="L165" s="1819"/>
      <c r="M165" s="1819"/>
      <c r="N165" s="1819"/>
      <c r="O165" s="1819"/>
      <c r="P165" s="1819"/>
      <c r="Q165" s="1819"/>
      <c r="R165" s="1819"/>
      <c r="S165" s="1819"/>
      <c r="T165" s="1819"/>
      <c r="U165" s="1819"/>
      <c r="V165" s="1819"/>
      <c r="W165" s="1819"/>
      <c r="X165" s="1819"/>
      <c r="Y165" s="1819"/>
      <c r="Z165" s="1819"/>
      <c r="AA165" s="1819"/>
      <c r="AB165" s="1819"/>
      <c r="AC165" s="1819"/>
      <c r="AD165" s="1819"/>
      <c r="AE165" s="1819"/>
      <c r="AF165" s="1819"/>
      <c r="AG165" s="1819"/>
      <c r="AH165" s="1819"/>
      <c r="AI165" s="1819"/>
      <c r="AJ165" s="1819"/>
      <c r="AK165" s="1819"/>
      <c r="AL165" s="1819"/>
      <c r="AM165" s="1819"/>
      <c r="AN165" s="1819"/>
      <c r="AO165" s="1819"/>
      <c r="AP165" s="1819"/>
      <c r="AQ165" s="1819"/>
      <c r="AR165" s="1819"/>
      <c r="AS165" s="1819"/>
      <c r="AT165" s="1819"/>
      <c r="AU165" s="1819"/>
      <c r="AV165" s="1819"/>
      <c r="AW165" s="1819"/>
      <c r="AX165" s="1819"/>
      <c r="AY165" s="1766"/>
    </row>
    <row r="166" spans="1:58" ht="12.75" thickBot="1">
      <c r="AA166" s="203"/>
      <c r="AB166" s="203"/>
      <c r="AC166" s="203"/>
      <c r="AQ166" s="468"/>
      <c r="AR166" s="468"/>
      <c r="AS166" s="468"/>
      <c r="AU166" s="203"/>
      <c r="AV166" s="203"/>
      <c r="AW166" s="203"/>
      <c r="AX166" s="203" t="s">
        <v>458</v>
      </c>
      <c r="AY166" s="203"/>
    </row>
    <row r="167" spans="1:58" s="444" customFormat="1" ht="12.75" customHeight="1" thickBot="1">
      <c r="A167" s="1888" t="s">
        <v>17</v>
      </c>
      <c r="B167" s="1918" t="s">
        <v>1050</v>
      </c>
      <c r="C167" s="1909" t="s">
        <v>768</v>
      </c>
      <c r="D167" s="1912" t="s">
        <v>767</v>
      </c>
      <c r="E167" s="1891" t="s">
        <v>751</v>
      </c>
      <c r="F167" s="1915" t="s">
        <v>761</v>
      </c>
      <c r="G167" s="1918" t="s">
        <v>1306</v>
      </c>
      <c r="H167" s="1921"/>
      <c r="I167" s="1921"/>
      <c r="J167" s="1922"/>
      <c r="K167" s="1918" t="s">
        <v>1329</v>
      </c>
      <c r="L167" s="1921"/>
      <c r="M167" s="1921"/>
      <c r="N167" s="1922"/>
      <c r="O167" s="1896" t="s">
        <v>752</v>
      </c>
      <c r="P167" s="1894"/>
      <c r="Q167" s="1894"/>
      <c r="R167" s="1894"/>
      <c r="S167" s="1894"/>
      <c r="T167" s="1894"/>
      <c r="U167" s="1894"/>
      <c r="V167" s="1894"/>
      <c r="W167" s="1894"/>
      <c r="X167" s="1894"/>
      <c r="Y167" s="1894"/>
      <c r="Z167" s="1894"/>
      <c r="AA167" s="1894"/>
      <c r="AB167" s="1894"/>
      <c r="AC167" s="1894"/>
      <c r="AD167" s="1894"/>
      <c r="AE167" s="1894"/>
      <c r="AF167" s="1894"/>
      <c r="AG167" s="1894"/>
      <c r="AH167" s="1895"/>
      <c r="AI167" s="1918" t="s">
        <v>1330</v>
      </c>
      <c r="AJ167" s="1921"/>
      <c r="AK167" s="1921"/>
      <c r="AL167" s="1922"/>
      <c r="AM167" s="1894" t="s">
        <v>752</v>
      </c>
      <c r="AN167" s="1894"/>
      <c r="AO167" s="1894"/>
      <c r="AP167" s="1894"/>
      <c r="AQ167" s="1894"/>
      <c r="AR167" s="1894"/>
      <c r="AS167" s="1894"/>
      <c r="AT167" s="1894"/>
      <c r="AU167" s="1894"/>
      <c r="AV167" s="1894"/>
      <c r="AW167" s="1894"/>
      <c r="AX167" s="1895"/>
      <c r="AY167" s="729"/>
    </row>
    <row r="168" spans="1:58" s="444" customFormat="1" ht="12.75" customHeight="1" thickBot="1">
      <c r="A168" s="1889"/>
      <c r="B168" s="1919"/>
      <c r="C168" s="1910"/>
      <c r="D168" s="1913"/>
      <c r="E168" s="1892"/>
      <c r="F168" s="1916"/>
      <c r="G168" s="1919"/>
      <c r="H168" s="1923"/>
      <c r="I168" s="1923"/>
      <c r="J168" s="1924"/>
      <c r="K168" s="1919"/>
      <c r="L168" s="1923"/>
      <c r="M168" s="1923"/>
      <c r="N168" s="1924"/>
      <c r="O168" s="1897" t="s">
        <v>46</v>
      </c>
      <c r="P168" s="1898"/>
      <c r="Q168" s="1898"/>
      <c r="R168" s="1899"/>
      <c r="S168" s="1897" t="s">
        <v>447</v>
      </c>
      <c r="T168" s="1898"/>
      <c r="U168" s="1898"/>
      <c r="V168" s="1899"/>
      <c r="W168" s="1897" t="s">
        <v>448</v>
      </c>
      <c r="X168" s="1898"/>
      <c r="Y168" s="1898"/>
      <c r="Z168" s="1899"/>
      <c r="AA168" s="1897" t="s">
        <v>772</v>
      </c>
      <c r="AB168" s="1898"/>
      <c r="AC168" s="1898"/>
      <c r="AD168" s="1899"/>
      <c r="AE168" s="1897" t="s">
        <v>450</v>
      </c>
      <c r="AF168" s="1898"/>
      <c r="AG168" s="1898"/>
      <c r="AH168" s="1899"/>
      <c r="AI168" s="1919"/>
      <c r="AJ168" s="1923"/>
      <c r="AK168" s="1923"/>
      <c r="AL168" s="1924"/>
      <c r="AM168" s="1897" t="s">
        <v>451</v>
      </c>
      <c r="AN168" s="1898"/>
      <c r="AO168" s="1898"/>
      <c r="AP168" s="1899"/>
      <c r="AQ168" s="1897" t="s">
        <v>452</v>
      </c>
      <c r="AR168" s="1898"/>
      <c r="AS168" s="1898"/>
      <c r="AT168" s="1899"/>
      <c r="AU168" s="1897" t="s">
        <v>453</v>
      </c>
      <c r="AV168" s="1898"/>
      <c r="AW168" s="1898"/>
      <c r="AX168" s="1899"/>
      <c r="AY168" s="729"/>
    </row>
    <row r="169" spans="1:58" s="444" customFormat="1" ht="36.75" thickBot="1">
      <c r="A169" s="1890"/>
      <c r="B169" s="1920"/>
      <c r="C169" s="1911"/>
      <c r="D169" s="1914"/>
      <c r="E169" s="1893"/>
      <c r="F169" s="1917"/>
      <c r="G169" s="1288" t="s">
        <v>1553</v>
      </c>
      <c r="H169" s="1289" t="s">
        <v>1554</v>
      </c>
      <c r="I169" s="6" t="s">
        <v>2646</v>
      </c>
      <c r="J169" s="1549" t="s">
        <v>2645</v>
      </c>
      <c r="K169" s="1288" t="s">
        <v>1553</v>
      </c>
      <c r="L169" s="1289" t="s">
        <v>1554</v>
      </c>
      <c r="M169" s="6" t="s">
        <v>2646</v>
      </c>
      <c r="N169" s="1549" t="s">
        <v>2645</v>
      </c>
      <c r="O169" s="1288" t="s">
        <v>1553</v>
      </c>
      <c r="P169" s="1289" t="s">
        <v>1554</v>
      </c>
      <c r="Q169" s="6" t="s">
        <v>2646</v>
      </c>
      <c r="R169" s="1549" t="s">
        <v>2645</v>
      </c>
      <c r="S169" s="1288" t="s">
        <v>1553</v>
      </c>
      <c r="T169" s="1289" t="s">
        <v>1554</v>
      </c>
      <c r="U169" s="6" t="s">
        <v>2646</v>
      </c>
      <c r="V169" s="1549" t="s">
        <v>2645</v>
      </c>
      <c r="W169" s="1288" t="s">
        <v>1553</v>
      </c>
      <c r="X169" s="1289" t="s">
        <v>1554</v>
      </c>
      <c r="Y169" s="6" t="s">
        <v>2646</v>
      </c>
      <c r="Z169" s="1549" t="s">
        <v>2645</v>
      </c>
      <c r="AA169" s="1288" t="s">
        <v>1553</v>
      </c>
      <c r="AB169" s="1289" t="s">
        <v>1554</v>
      </c>
      <c r="AC169" s="6" t="s">
        <v>2646</v>
      </c>
      <c r="AD169" s="1549" t="s">
        <v>2645</v>
      </c>
      <c r="AE169" s="1288" t="s">
        <v>1553</v>
      </c>
      <c r="AF169" s="1289" t="s">
        <v>1554</v>
      </c>
      <c r="AG169" s="6" t="s">
        <v>2646</v>
      </c>
      <c r="AH169" s="1549" t="s">
        <v>2645</v>
      </c>
      <c r="AI169" s="1288" t="s">
        <v>1553</v>
      </c>
      <c r="AJ169" s="1289" t="s">
        <v>1554</v>
      </c>
      <c r="AK169" s="6" t="s">
        <v>2646</v>
      </c>
      <c r="AL169" s="1549" t="s">
        <v>2645</v>
      </c>
      <c r="AM169" s="1288" t="s">
        <v>1553</v>
      </c>
      <c r="AN169" s="1289" t="s">
        <v>1554</v>
      </c>
      <c r="AO169" s="6" t="s">
        <v>2646</v>
      </c>
      <c r="AP169" s="1549" t="s">
        <v>2645</v>
      </c>
      <c r="AQ169" s="1288" t="s">
        <v>1553</v>
      </c>
      <c r="AR169" s="1289" t="s">
        <v>1554</v>
      </c>
      <c r="AS169" s="6" t="s">
        <v>2646</v>
      </c>
      <c r="AT169" s="1549" t="s">
        <v>2645</v>
      </c>
      <c r="AU169" s="1288" t="s">
        <v>1553</v>
      </c>
      <c r="AV169" s="1289" t="s">
        <v>1554</v>
      </c>
      <c r="AW169" s="6" t="s">
        <v>2646</v>
      </c>
      <c r="AX169" s="1549" t="s">
        <v>2645</v>
      </c>
      <c r="AY169" s="445"/>
    </row>
    <row r="170" spans="1:58" s="444" customFormat="1">
      <c r="A170" s="483">
        <v>1</v>
      </c>
      <c r="B170" s="1780">
        <v>1</v>
      </c>
      <c r="C170" s="1057" t="s">
        <v>676</v>
      </c>
      <c r="D170" s="854" t="s">
        <v>675</v>
      </c>
      <c r="E170" s="1058">
        <v>999000</v>
      </c>
      <c r="F170" s="855" t="s">
        <v>415</v>
      </c>
      <c r="G170" s="1276">
        <f t="shared" ref="G170:G201" si="455">+K170+AI170</f>
        <v>40043</v>
      </c>
      <c r="H170" s="1277">
        <f t="shared" ref="H170:H201" si="456">+L170+AJ170</f>
        <v>44464</v>
      </c>
      <c r="I170" s="1277">
        <f t="shared" ref="I170:I201" si="457">+M170+AK170</f>
        <v>41603</v>
      </c>
      <c r="J170" s="1689">
        <f t="shared" ref="J170:J233" si="458">IF(ISERROR(I170/H170),"-",I170/H170)</f>
        <v>0.93565581144296506</v>
      </c>
      <c r="K170" s="1276">
        <f t="shared" ref="K170:K201" si="459">+O170+S170+W170+AA170+AE170</f>
        <v>40043</v>
      </c>
      <c r="L170" s="1277">
        <f t="shared" ref="L170:L201" si="460">+P170+T170+X170+AB170+AF170</f>
        <v>44464</v>
      </c>
      <c r="M170" s="1277">
        <f t="shared" ref="M170:M201" si="461">+Q170+U170+Y170+AC170+AG170</f>
        <v>41603</v>
      </c>
      <c r="N170" s="1689">
        <f t="shared" ref="N170:N233" si="462">IF(ISERROR(M170/L170),"-",M170/L170)</f>
        <v>0.93565581144296506</v>
      </c>
      <c r="O170" s="1047">
        <v>33550</v>
      </c>
      <c r="P170" s="1048">
        <f>35432+2861</f>
        <v>38293</v>
      </c>
      <c r="Q170" s="1048">
        <v>35432</v>
      </c>
      <c r="R170" s="1699">
        <f t="shared" ref="R170:R233" si="463">IF(ISERROR(Q170/P170),"-",Q170/P170)</f>
        <v>0.92528660590708489</v>
      </c>
      <c r="S170" s="1051">
        <v>6302</v>
      </c>
      <c r="T170" s="1052">
        <v>6171</v>
      </c>
      <c r="U170" s="1048">
        <v>6171</v>
      </c>
      <c r="V170" s="1699">
        <f t="shared" ref="V170:V233" si="464">IF(ISERROR(U170/T170),"-",U170/T170)</f>
        <v>1</v>
      </c>
      <c r="W170" s="1047">
        <v>191</v>
      </c>
      <c r="X170" s="1048">
        <v>0</v>
      </c>
      <c r="Y170" s="1048"/>
      <c r="Z170" s="1699" t="str">
        <f t="shared" ref="Z170:Z233" si="465">IF(ISERROR(Y170/X170),"-",Y170/X170)</f>
        <v>-</v>
      </c>
      <c r="AA170" s="1047"/>
      <c r="AB170" s="1048"/>
      <c r="AC170" s="1048"/>
      <c r="AD170" s="1699" t="str">
        <f t="shared" ref="AD170:AD233" si="466">IF(ISERROR(AC170/AB170),"-",AC170/AB170)</f>
        <v>-</v>
      </c>
      <c r="AE170" s="1047"/>
      <c r="AF170" s="1048"/>
      <c r="AG170" s="1048"/>
      <c r="AH170" s="1699" t="str">
        <f t="shared" ref="AH170:AH233" si="467">IF(ISERROR(AG170/AF170),"-",AG170/AF170)</f>
        <v>-</v>
      </c>
      <c r="AI170" s="1276">
        <f t="shared" ref="AI170:AI201" si="468">+AM170+AQ170+AU170</f>
        <v>0</v>
      </c>
      <c r="AJ170" s="1277">
        <f t="shared" ref="AJ170:AJ201" si="469">+AN170+AR170+AV170</f>
        <v>0</v>
      </c>
      <c r="AK170" s="1277">
        <f t="shared" ref="AK170:AK201" si="470">+AO170+AS170+AW170</f>
        <v>0</v>
      </c>
      <c r="AL170" s="1689" t="str">
        <f t="shared" ref="AL170:AL233" si="471">IF(ISERROR(AK170/AJ170),"-",AK170/AJ170)</f>
        <v>-</v>
      </c>
      <c r="AM170" s="1047"/>
      <c r="AN170" s="1048"/>
      <c r="AO170" s="1048"/>
      <c r="AP170" s="1699" t="str">
        <f t="shared" ref="AP170:AP233" si="472">IF(ISERROR(AO170/AN170),"-",AO170/AN170)</f>
        <v>-</v>
      </c>
      <c r="AQ170" s="1047"/>
      <c r="AR170" s="1048"/>
      <c r="AS170" s="1048"/>
      <c r="AT170" s="1699" t="str">
        <f t="shared" ref="AT170:AT233" si="473">IF(ISERROR(AS170/AR170),"-",AS170/AR170)</f>
        <v>-</v>
      </c>
      <c r="AU170" s="1047"/>
      <c r="AV170" s="1048"/>
      <c r="AW170" s="1048"/>
      <c r="AX170" s="1699" t="str">
        <f t="shared" ref="AX170:AX233" si="474">IF(ISERROR(AW170/AV170),"-",AW170/AV170)</f>
        <v>-</v>
      </c>
      <c r="AY170" s="442"/>
      <c r="AZ170" s="442"/>
      <c r="BA170" s="442"/>
      <c r="BB170" s="442"/>
      <c r="BC170" s="442"/>
      <c r="BE170" s="442"/>
      <c r="BF170" s="442"/>
    </row>
    <row r="171" spans="1:58" s="444" customFormat="1">
      <c r="A171" s="483">
        <f>+A170+1</f>
        <v>2</v>
      </c>
      <c r="B171" s="1781">
        <v>8</v>
      </c>
      <c r="C171" s="1059" t="s">
        <v>676</v>
      </c>
      <c r="D171" s="856" t="s">
        <v>675</v>
      </c>
      <c r="E171" s="1060" t="s">
        <v>1257</v>
      </c>
      <c r="F171" s="857" t="s">
        <v>1004</v>
      </c>
      <c r="G171" s="1276">
        <f t="shared" si="455"/>
        <v>2861957</v>
      </c>
      <c r="H171" s="1277">
        <f t="shared" si="456"/>
        <v>3380647</v>
      </c>
      <c r="I171" s="1277">
        <f t="shared" si="457"/>
        <v>184608</v>
      </c>
      <c r="J171" s="1689">
        <f t="shared" si="458"/>
        <v>5.4607298543740294E-2</v>
      </c>
      <c r="K171" s="1276">
        <f t="shared" si="459"/>
        <v>2854517</v>
      </c>
      <c r="L171" s="1277">
        <f t="shared" si="460"/>
        <v>3359938</v>
      </c>
      <c r="M171" s="1277">
        <f t="shared" si="461"/>
        <v>163899</v>
      </c>
      <c r="N171" s="1689">
        <f t="shared" si="462"/>
        <v>4.878036439958118E-2</v>
      </c>
      <c r="O171" s="1047"/>
      <c r="P171" s="1048">
        <f>44813-35432+563+1</f>
        <v>9945</v>
      </c>
      <c r="Q171" s="1048">
        <f>44813-35432+563+1</f>
        <v>9945</v>
      </c>
      <c r="R171" s="1699">
        <f t="shared" si="463"/>
        <v>1</v>
      </c>
      <c r="S171" s="1049"/>
      <c r="T171" s="1050">
        <f>10109-6171+1</f>
        <v>3939</v>
      </c>
      <c r="U171" s="1050">
        <f>10109-6171+1</f>
        <v>3939</v>
      </c>
      <c r="V171" s="1699">
        <f t="shared" si="464"/>
        <v>1</v>
      </c>
      <c r="W171" s="1049">
        <v>48384</v>
      </c>
      <c r="X171" s="1050">
        <f>117792-55+50-125+46-7+72704</f>
        <v>190405</v>
      </c>
      <c r="Y171" s="1048">
        <f>117792-55+50-125+46-7</f>
        <v>117701</v>
      </c>
      <c r="Z171" s="1699">
        <f t="shared" si="465"/>
        <v>0.6181612877813083</v>
      </c>
      <c r="AA171" s="1049"/>
      <c r="AB171" s="1050"/>
      <c r="AC171" s="1048"/>
      <c r="AD171" s="1699" t="str">
        <f t="shared" si="466"/>
        <v>-</v>
      </c>
      <c r="AE171" s="1049">
        <v>2806133</v>
      </c>
      <c r="AF171" s="1050">
        <f>32314+3123335</f>
        <v>3155649</v>
      </c>
      <c r="AG171" s="1048">
        <f>32314</f>
        <v>32314</v>
      </c>
      <c r="AH171" s="1699">
        <f t="shared" si="467"/>
        <v>1.0240048877425849E-2</v>
      </c>
      <c r="AI171" s="1276">
        <f t="shared" si="468"/>
        <v>7440</v>
      </c>
      <c r="AJ171" s="1277">
        <f t="shared" si="469"/>
        <v>20709</v>
      </c>
      <c r="AK171" s="1277">
        <f t="shared" si="470"/>
        <v>20709</v>
      </c>
      <c r="AL171" s="1689">
        <f t="shared" si="471"/>
        <v>1</v>
      </c>
      <c r="AM171" s="1049">
        <v>1440</v>
      </c>
      <c r="AN171" s="1050">
        <f>8463-1</f>
        <v>8462</v>
      </c>
      <c r="AO171" s="1048">
        <f>8463-1</f>
        <v>8462</v>
      </c>
      <c r="AP171" s="1699">
        <f t="shared" si="472"/>
        <v>1</v>
      </c>
      <c r="AQ171" s="1049">
        <v>6000</v>
      </c>
      <c r="AR171" s="1050">
        <f>3704+8543</f>
        <v>12247</v>
      </c>
      <c r="AS171" s="1050">
        <f>3704+8543</f>
        <v>12247</v>
      </c>
      <c r="AT171" s="1699">
        <f t="shared" si="473"/>
        <v>1</v>
      </c>
      <c r="AU171" s="1049"/>
      <c r="AV171" s="1050"/>
      <c r="AW171" s="1048"/>
      <c r="AX171" s="1699" t="str">
        <f t="shared" si="474"/>
        <v>-</v>
      </c>
      <c r="AY171" s="442"/>
    </row>
    <row r="172" spans="1:58" s="444" customFormat="1">
      <c r="A172" s="483">
        <f t="shared" ref="A172:A246" si="475">+A171+1</f>
        <v>3</v>
      </c>
      <c r="B172" s="1781">
        <v>7</v>
      </c>
      <c r="C172" s="367" t="s">
        <v>2753</v>
      </c>
      <c r="D172" s="856" t="s">
        <v>2752</v>
      </c>
      <c r="E172" s="1060" t="s">
        <v>1257</v>
      </c>
      <c r="F172" s="857" t="s">
        <v>2754</v>
      </c>
      <c r="G172" s="1276">
        <f t="shared" si="455"/>
        <v>0</v>
      </c>
      <c r="H172" s="1277">
        <f t="shared" si="456"/>
        <v>248</v>
      </c>
      <c r="I172" s="1277">
        <f t="shared" si="457"/>
        <v>248</v>
      </c>
      <c r="J172" s="1689">
        <f t="shared" si="458"/>
        <v>1</v>
      </c>
      <c r="K172" s="1276">
        <f t="shared" si="459"/>
        <v>0</v>
      </c>
      <c r="L172" s="1277">
        <f t="shared" si="460"/>
        <v>248</v>
      </c>
      <c r="M172" s="1277">
        <f t="shared" si="461"/>
        <v>248</v>
      </c>
      <c r="N172" s="1689">
        <f t="shared" si="462"/>
        <v>1</v>
      </c>
      <c r="O172" s="1047"/>
      <c r="P172" s="1048"/>
      <c r="Q172" s="1048"/>
      <c r="R172" s="1699" t="str">
        <f t="shared" si="463"/>
        <v>-</v>
      </c>
      <c r="S172" s="1049"/>
      <c r="T172" s="1050"/>
      <c r="U172" s="1048"/>
      <c r="V172" s="1699" t="str">
        <f t="shared" si="464"/>
        <v>-</v>
      </c>
      <c r="W172" s="1049"/>
      <c r="X172" s="1050">
        <v>248</v>
      </c>
      <c r="Y172" s="1048">
        <v>248</v>
      </c>
      <c r="Z172" s="1699">
        <f t="shared" si="465"/>
        <v>1</v>
      </c>
      <c r="AA172" s="1049"/>
      <c r="AB172" s="1050"/>
      <c r="AC172" s="1048"/>
      <c r="AD172" s="1699" t="str">
        <f t="shared" si="466"/>
        <v>-</v>
      </c>
      <c r="AE172" s="1049"/>
      <c r="AF172" s="1050"/>
      <c r="AG172" s="1048"/>
      <c r="AH172" s="1699" t="str">
        <f t="shared" si="467"/>
        <v>-</v>
      </c>
      <c r="AI172" s="1276">
        <f t="shared" si="468"/>
        <v>0</v>
      </c>
      <c r="AJ172" s="1277">
        <f t="shared" si="469"/>
        <v>0</v>
      </c>
      <c r="AK172" s="1277">
        <f t="shared" si="470"/>
        <v>0</v>
      </c>
      <c r="AL172" s="1689" t="str">
        <f t="shared" si="471"/>
        <v>-</v>
      </c>
      <c r="AM172" s="1049"/>
      <c r="AN172" s="1050"/>
      <c r="AO172" s="1048"/>
      <c r="AP172" s="1699" t="str">
        <f t="shared" si="472"/>
        <v>-</v>
      </c>
      <c r="AQ172" s="1049"/>
      <c r="AR172" s="1050"/>
      <c r="AS172" s="1048"/>
      <c r="AT172" s="1699" t="str">
        <f t="shared" si="473"/>
        <v>-</v>
      </c>
      <c r="AU172" s="1049"/>
      <c r="AV172" s="1050"/>
      <c r="AW172" s="1048"/>
      <c r="AX172" s="1699" t="str">
        <f t="shared" si="474"/>
        <v>-</v>
      </c>
      <c r="AY172" s="442"/>
    </row>
    <row r="173" spans="1:58" s="446" customFormat="1">
      <c r="A173" s="483">
        <f t="shared" si="475"/>
        <v>4</v>
      </c>
      <c r="B173" s="1781">
        <v>8</v>
      </c>
      <c r="C173" s="1059" t="s">
        <v>684</v>
      </c>
      <c r="D173" s="856" t="s">
        <v>862</v>
      </c>
      <c r="E173" s="1060" t="s">
        <v>1257</v>
      </c>
      <c r="F173" s="857" t="s">
        <v>683</v>
      </c>
      <c r="G173" s="1278">
        <f t="shared" si="455"/>
        <v>500</v>
      </c>
      <c r="H173" s="1279">
        <f t="shared" si="456"/>
        <v>0</v>
      </c>
      <c r="I173" s="1279">
        <f t="shared" si="457"/>
        <v>0</v>
      </c>
      <c r="J173" s="1690" t="str">
        <f t="shared" si="458"/>
        <v>-</v>
      </c>
      <c r="K173" s="1278">
        <f t="shared" si="459"/>
        <v>500</v>
      </c>
      <c r="L173" s="1279">
        <f t="shared" si="460"/>
        <v>0</v>
      </c>
      <c r="M173" s="1279">
        <f t="shared" si="461"/>
        <v>0</v>
      </c>
      <c r="N173" s="1690" t="str">
        <f t="shared" si="462"/>
        <v>-</v>
      </c>
      <c r="O173" s="1047"/>
      <c r="P173" s="1048"/>
      <c r="Q173" s="1048"/>
      <c r="R173" s="1699" t="str">
        <f t="shared" si="463"/>
        <v>-</v>
      </c>
      <c r="S173" s="1055"/>
      <c r="T173" s="1053"/>
      <c r="U173" s="1048"/>
      <c r="V173" s="1699" t="str">
        <f t="shared" si="464"/>
        <v>-</v>
      </c>
      <c r="W173" s="1055"/>
      <c r="X173" s="1053"/>
      <c r="Y173" s="1048"/>
      <c r="Z173" s="1699" t="str">
        <f t="shared" si="465"/>
        <v>-</v>
      </c>
      <c r="AA173" s="1055"/>
      <c r="AB173" s="1053"/>
      <c r="AC173" s="1048"/>
      <c r="AD173" s="1699" t="str">
        <f t="shared" si="466"/>
        <v>-</v>
      </c>
      <c r="AE173" s="1055">
        <v>500</v>
      </c>
      <c r="AF173" s="1053">
        <v>0</v>
      </c>
      <c r="AG173" s="1048"/>
      <c r="AH173" s="1699" t="str">
        <f t="shared" si="467"/>
        <v>-</v>
      </c>
      <c r="AI173" s="1278">
        <f t="shared" si="468"/>
        <v>0</v>
      </c>
      <c r="AJ173" s="1279">
        <f t="shared" si="469"/>
        <v>0</v>
      </c>
      <c r="AK173" s="1279">
        <f t="shared" si="470"/>
        <v>0</v>
      </c>
      <c r="AL173" s="1690" t="str">
        <f t="shared" si="471"/>
        <v>-</v>
      </c>
      <c r="AM173" s="1055"/>
      <c r="AN173" s="1053"/>
      <c r="AO173" s="1048"/>
      <c r="AP173" s="1699" t="str">
        <f t="shared" si="472"/>
        <v>-</v>
      </c>
      <c r="AQ173" s="1055"/>
      <c r="AR173" s="1053"/>
      <c r="AS173" s="1048"/>
      <c r="AT173" s="1699" t="str">
        <f t="shared" si="473"/>
        <v>-</v>
      </c>
      <c r="AU173" s="1055"/>
      <c r="AV173" s="1053"/>
      <c r="AW173" s="1048"/>
      <c r="AX173" s="1699" t="str">
        <f t="shared" si="474"/>
        <v>-</v>
      </c>
      <c r="AY173" s="1077"/>
    </row>
    <row r="174" spans="1:58" s="444" customFormat="1">
      <c r="A174" s="483">
        <f t="shared" si="475"/>
        <v>5</v>
      </c>
      <c r="B174" s="1781">
        <v>8</v>
      </c>
      <c r="C174" s="1059" t="s">
        <v>678</v>
      </c>
      <c r="D174" s="856" t="s">
        <v>677</v>
      </c>
      <c r="E174" s="1061" t="s">
        <v>1257</v>
      </c>
      <c r="F174" s="857" t="s">
        <v>643</v>
      </c>
      <c r="G174" s="1280">
        <f t="shared" si="455"/>
        <v>0</v>
      </c>
      <c r="H174" s="1281">
        <f t="shared" si="456"/>
        <v>0</v>
      </c>
      <c r="I174" s="1281">
        <f t="shared" si="457"/>
        <v>0</v>
      </c>
      <c r="J174" s="1668" t="str">
        <f t="shared" si="458"/>
        <v>-</v>
      </c>
      <c r="K174" s="1280">
        <f t="shared" si="459"/>
        <v>0</v>
      </c>
      <c r="L174" s="1281">
        <f t="shared" si="460"/>
        <v>0</v>
      </c>
      <c r="M174" s="1281">
        <f t="shared" si="461"/>
        <v>0</v>
      </c>
      <c r="N174" s="1668" t="str">
        <f t="shared" si="462"/>
        <v>-</v>
      </c>
      <c r="O174" s="1047"/>
      <c r="P174" s="1048"/>
      <c r="Q174" s="1048"/>
      <c r="R174" s="1699" t="str">
        <f t="shared" si="463"/>
        <v>-</v>
      </c>
      <c r="S174" s="1049"/>
      <c r="T174" s="1050"/>
      <c r="U174" s="1048"/>
      <c r="V174" s="1699" t="str">
        <f t="shared" si="464"/>
        <v>-</v>
      </c>
      <c r="W174" s="1049"/>
      <c r="X174" s="1050"/>
      <c r="Y174" s="1048"/>
      <c r="Z174" s="1699" t="str">
        <f t="shared" si="465"/>
        <v>-</v>
      </c>
      <c r="AA174" s="1049"/>
      <c r="AB174" s="1050"/>
      <c r="AC174" s="1048"/>
      <c r="AD174" s="1699" t="str">
        <f t="shared" si="466"/>
        <v>-</v>
      </c>
      <c r="AE174" s="1049"/>
      <c r="AF174" s="1050"/>
      <c r="AG174" s="1048"/>
      <c r="AH174" s="1699" t="str">
        <f t="shared" si="467"/>
        <v>-</v>
      </c>
      <c r="AI174" s="1280">
        <f t="shared" si="468"/>
        <v>0</v>
      </c>
      <c r="AJ174" s="1281">
        <f t="shared" si="469"/>
        <v>0</v>
      </c>
      <c r="AK174" s="1281">
        <f t="shared" si="470"/>
        <v>0</v>
      </c>
      <c r="AL174" s="1668" t="str">
        <f t="shared" si="471"/>
        <v>-</v>
      </c>
      <c r="AM174" s="1049"/>
      <c r="AN174" s="1050"/>
      <c r="AO174" s="1048"/>
      <c r="AP174" s="1699" t="str">
        <f t="shared" si="472"/>
        <v>-</v>
      </c>
      <c r="AQ174" s="1049"/>
      <c r="AR174" s="1050"/>
      <c r="AS174" s="1048"/>
      <c r="AT174" s="1699" t="str">
        <f t="shared" si="473"/>
        <v>-</v>
      </c>
      <c r="AU174" s="1049"/>
      <c r="AV174" s="1050"/>
      <c r="AW174" s="1048"/>
      <c r="AX174" s="1699" t="str">
        <f t="shared" si="474"/>
        <v>-</v>
      </c>
      <c r="AY174" s="442"/>
    </row>
    <row r="175" spans="1:58">
      <c r="A175" s="483">
        <f t="shared" si="475"/>
        <v>6</v>
      </c>
      <c r="B175" s="1781">
        <v>2</v>
      </c>
      <c r="C175" s="1059" t="s">
        <v>727</v>
      </c>
      <c r="D175" s="476" t="s">
        <v>726</v>
      </c>
      <c r="E175" s="1060" t="s">
        <v>1258</v>
      </c>
      <c r="F175" s="858" t="s">
        <v>726</v>
      </c>
      <c r="G175" s="1276">
        <f t="shared" si="455"/>
        <v>7000</v>
      </c>
      <c r="H175" s="1277">
        <f t="shared" si="456"/>
        <v>2975</v>
      </c>
      <c r="I175" s="1277">
        <f t="shared" si="457"/>
        <v>2975</v>
      </c>
      <c r="J175" s="1689">
        <f t="shared" si="458"/>
        <v>1</v>
      </c>
      <c r="K175" s="1276">
        <f t="shared" si="459"/>
        <v>7000</v>
      </c>
      <c r="L175" s="1277">
        <f t="shared" si="460"/>
        <v>1418</v>
      </c>
      <c r="M175" s="1277">
        <f t="shared" si="461"/>
        <v>1418</v>
      </c>
      <c r="N175" s="1689">
        <f t="shared" si="462"/>
        <v>1</v>
      </c>
      <c r="O175" s="1047"/>
      <c r="P175" s="1048"/>
      <c r="Q175" s="1048"/>
      <c r="R175" s="1699" t="str">
        <f t="shared" si="463"/>
        <v>-</v>
      </c>
      <c r="S175" s="448"/>
      <c r="T175" s="447"/>
      <c r="U175" s="1048"/>
      <c r="V175" s="1699" t="str">
        <f t="shared" si="464"/>
        <v>-</v>
      </c>
      <c r="W175" s="448">
        <v>7000</v>
      </c>
      <c r="X175" s="447">
        <v>1418</v>
      </c>
      <c r="Y175" s="1048">
        <v>1418</v>
      </c>
      <c r="Z175" s="1699">
        <f t="shared" si="465"/>
        <v>1</v>
      </c>
      <c r="AA175" s="448"/>
      <c r="AB175" s="447"/>
      <c r="AC175" s="1048"/>
      <c r="AD175" s="1699" t="str">
        <f t="shared" si="466"/>
        <v>-</v>
      </c>
      <c r="AE175" s="448"/>
      <c r="AF175" s="447"/>
      <c r="AG175" s="1048"/>
      <c r="AH175" s="1699" t="str">
        <f t="shared" si="467"/>
        <v>-</v>
      </c>
      <c r="AI175" s="1276">
        <f t="shared" si="468"/>
        <v>0</v>
      </c>
      <c r="AJ175" s="1277">
        <f t="shared" si="469"/>
        <v>1557</v>
      </c>
      <c r="AK175" s="1277">
        <f t="shared" si="470"/>
        <v>1557</v>
      </c>
      <c r="AL175" s="1689">
        <f t="shared" si="471"/>
        <v>1</v>
      </c>
      <c r="AM175" s="448"/>
      <c r="AN175" s="1050"/>
      <c r="AO175" s="1048"/>
      <c r="AP175" s="1699" t="str">
        <f t="shared" si="472"/>
        <v>-</v>
      </c>
      <c r="AQ175" s="448"/>
      <c r="AR175" s="447">
        <v>1557</v>
      </c>
      <c r="AS175" s="1048">
        <v>1557</v>
      </c>
      <c r="AT175" s="1699">
        <f t="shared" si="473"/>
        <v>1</v>
      </c>
      <c r="AU175" s="448"/>
      <c r="AV175" s="447"/>
      <c r="AW175" s="1048"/>
      <c r="AX175" s="1699" t="str">
        <f t="shared" si="474"/>
        <v>-</v>
      </c>
      <c r="AY175" s="442"/>
    </row>
    <row r="176" spans="1:58" ht="12.75" customHeight="1">
      <c r="A176" s="483">
        <f t="shared" si="475"/>
        <v>7</v>
      </c>
      <c r="B176" s="1781">
        <v>8</v>
      </c>
      <c r="C176" s="1059" t="s">
        <v>711</v>
      </c>
      <c r="D176" s="856" t="s">
        <v>1065</v>
      </c>
      <c r="E176" s="1061" t="s">
        <v>1259</v>
      </c>
      <c r="F176" s="859" t="s">
        <v>1067</v>
      </c>
      <c r="G176" s="1280">
        <f t="shared" si="455"/>
        <v>0</v>
      </c>
      <c r="H176" s="1281">
        <f t="shared" si="456"/>
        <v>2392</v>
      </c>
      <c r="I176" s="1281">
        <f t="shared" si="457"/>
        <v>2392</v>
      </c>
      <c r="J176" s="1668">
        <f t="shared" si="458"/>
        <v>1</v>
      </c>
      <c r="K176" s="1280">
        <f t="shared" si="459"/>
        <v>0</v>
      </c>
      <c r="L176" s="1281">
        <f t="shared" si="460"/>
        <v>0</v>
      </c>
      <c r="M176" s="1281">
        <f t="shared" si="461"/>
        <v>0</v>
      </c>
      <c r="N176" s="1668" t="str">
        <f t="shared" si="462"/>
        <v>-</v>
      </c>
      <c r="O176" s="1047"/>
      <c r="P176" s="1048"/>
      <c r="Q176" s="1048"/>
      <c r="R176" s="1699" t="str">
        <f t="shared" si="463"/>
        <v>-</v>
      </c>
      <c r="S176" s="1049"/>
      <c r="T176" s="1050"/>
      <c r="U176" s="1048"/>
      <c r="V176" s="1699" t="str">
        <f t="shared" si="464"/>
        <v>-</v>
      </c>
      <c r="W176" s="1049"/>
      <c r="X176" s="1050"/>
      <c r="Y176" s="1048"/>
      <c r="Z176" s="1699" t="str">
        <f t="shared" si="465"/>
        <v>-</v>
      </c>
      <c r="AA176" s="1049"/>
      <c r="AB176" s="1050"/>
      <c r="AC176" s="1048"/>
      <c r="AD176" s="1699" t="str">
        <f t="shared" si="466"/>
        <v>-</v>
      </c>
      <c r="AE176" s="1049"/>
      <c r="AF176" s="1050"/>
      <c r="AG176" s="1048"/>
      <c r="AH176" s="1699" t="str">
        <f t="shared" si="467"/>
        <v>-</v>
      </c>
      <c r="AI176" s="1280">
        <f t="shared" si="468"/>
        <v>0</v>
      </c>
      <c r="AJ176" s="1281">
        <f t="shared" si="469"/>
        <v>2392</v>
      </c>
      <c r="AK176" s="1281">
        <f t="shared" si="470"/>
        <v>2392</v>
      </c>
      <c r="AL176" s="1668">
        <f t="shared" si="471"/>
        <v>1</v>
      </c>
      <c r="AM176" s="1049"/>
      <c r="AN176" s="1048">
        <f>291465-289073</f>
        <v>2392</v>
      </c>
      <c r="AO176" s="1048">
        <f>291465-289073</f>
        <v>2392</v>
      </c>
      <c r="AP176" s="1699">
        <f t="shared" si="472"/>
        <v>1</v>
      </c>
      <c r="AQ176" s="1049"/>
      <c r="AR176" s="1050"/>
      <c r="AS176" s="1048"/>
      <c r="AT176" s="1699" t="str">
        <f t="shared" si="473"/>
        <v>-</v>
      </c>
      <c r="AU176" s="1049"/>
      <c r="AV176" s="1050"/>
      <c r="AW176" s="1048"/>
      <c r="AX176" s="1699" t="str">
        <f t="shared" si="474"/>
        <v>-</v>
      </c>
      <c r="AY176" s="442"/>
    </row>
    <row r="177" spans="1:51" s="449" customFormat="1">
      <c r="A177" s="483">
        <f t="shared" si="475"/>
        <v>8</v>
      </c>
      <c r="B177" s="1781">
        <v>8</v>
      </c>
      <c r="C177" s="1059" t="s">
        <v>711</v>
      </c>
      <c r="D177" s="860" t="s">
        <v>1065</v>
      </c>
      <c r="E177" s="1061" t="s">
        <v>1260</v>
      </c>
      <c r="F177" s="861" t="s">
        <v>659</v>
      </c>
      <c r="G177" s="1280">
        <f t="shared" si="455"/>
        <v>6146</v>
      </c>
      <c r="H177" s="1281">
        <f t="shared" si="456"/>
        <v>339</v>
      </c>
      <c r="I177" s="1281">
        <f t="shared" si="457"/>
        <v>339</v>
      </c>
      <c r="J177" s="1668">
        <f t="shared" si="458"/>
        <v>1</v>
      </c>
      <c r="K177" s="1280">
        <f t="shared" si="459"/>
        <v>6146</v>
      </c>
      <c r="L177" s="1281">
        <f t="shared" si="460"/>
        <v>339</v>
      </c>
      <c r="M177" s="1281">
        <f t="shared" si="461"/>
        <v>339</v>
      </c>
      <c r="N177" s="1668">
        <f t="shared" si="462"/>
        <v>1</v>
      </c>
      <c r="O177" s="1047"/>
      <c r="P177" s="1048"/>
      <c r="Q177" s="1048"/>
      <c r="R177" s="1699" t="str">
        <f t="shared" si="463"/>
        <v>-</v>
      </c>
      <c r="S177" s="1049"/>
      <c r="T177" s="1050"/>
      <c r="U177" s="1048"/>
      <c r="V177" s="1699" t="str">
        <f t="shared" si="464"/>
        <v>-</v>
      </c>
      <c r="W177" s="1049">
        <v>6146</v>
      </c>
      <c r="X177" s="1050">
        <f>83958-74356-398-8865</f>
        <v>339</v>
      </c>
      <c r="Y177" s="1050">
        <f>83958-74356-398-8865</f>
        <v>339</v>
      </c>
      <c r="Z177" s="1699">
        <f t="shared" si="465"/>
        <v>1</v>
      </c>
      <c r="AA177" s="1049"/>
      <c r="AB177" s="1050"/>
      <c r="AC177" s="1048"/>
      <c r="AD177" s="1699" t="str">
        <f t="shared" si="466"/>
        <v>-</v>
      </c>
      <c r="AE177" s="1049"/>
      <c r="AF177" s="1050"/>
      <c r="AG177" s="1048"/>
      <c r="AH177" s="1699" t="str">
        <f t="shared" si="467"/>
        <v>-</v>
      </c>
      <c r="AI177" s="1280">
        <f t="shared" si="468"/>
        <v>0</v>
      </c>
      <c r="AJ177" s="1281">
        <f t="shared" si="469"/>
        <v>0</v>
      </c>
      <c r="AK177" s="1281">
        <f t="shared" si="470"/>
        <v>0</v>
      </c>
      <c r="AL177" s="1668" t="str">
        <f t="shared" si="471"/>
        <v>-</v>
      </c>
      <c r="AM177" s="1049"/>
      <c r="AN177" s="1050"/>
      <c r="AO177" s="1048"/>
      <c r="AP177" s="1699" t="str">
        <f t="shared" si="472"/>
        <v>-</v>
      </c>
      <c r="AQ177" s="1049"/>
      <c r="AR177" s="1050"/>
      <c r="AS177" s="1048"/>
      <c r="AT177" s="1699" t="str">
        <f t="shared" si="473"/>
        <v>-</v>
      </c>
      <c r="AU177" s="1049"/>
      <c r="AV177" s="1050"/>
      <c r="AW177" s="1048"/>
      <c r="AX177" s="1699" t="str">
        <f t="shared" si="474"/>
        <v>-</v>
      </c>
      <c r="AY177" s="442"/>
    </row>
    <row r="178" spans="1:51">
      <c r="A178" s="483">
        <f t="shared" si="475"/>
        <v>9</v>
      </c>
      <c r="B178" s="1781">
        <v>8</v>
      </c>
      <c r="C178" s="1059" t="s">
        <v>708</v>
      </c>
      <c r="D178" s="856" t="s">
        <v>707</v>
      </c>
      <c r="E178" s="1061" t="s">
        <v>1261</v>
      </c>
      <c r="F178" s="859" t="s">
        <v>783</v>
      </c>
      <c r="G178" s="1280">
        <f t="shared" si="455"/>
        <v>6210</v>
      </c>
      <c r="H178" s="1281">
        <f t="shared" si="456"/>
        <v>9932</v>
      </c>
      <c r="I178" s="1281">
        <f t="shared" si="457"/>
        <v>9932</v>
      </c>
      <c r="J178" s="1668">
        <f t="shared" si="458"/>
        <v>1</v>
      </c>
      <c r="K178" s="1280">
        <f t="shared" si="459"/>
        <v>6210</v>
      </c>
      <c r="L178" s="1281">
        <f t="shared" si="460"/>
        <v>8432</v>
      </c>
      <c r="M178" s="1281">
        <f t="shared" si="461"/>
        <v>8432</v>
      </c>
      <c r="N178" s="1668">
        <f t="shared" si="462"/>
        <v>1</v>
      </c>
      <c r="O178" s="1047"/>
      <c r="P178" s="1048"/>
      <c r="Q178" s="1048"/>
      <c r="R178" s="1699" t="str">
        <f t="shared" si="463"/>
        <v>-</v>
      </c>
      <c r="S178" s="1049"/>
      <c r="T178" s="1050"/>
      <c r="U178" s="1048"/>
      <c r="V178" s="1699" t="str">
        <f t="shared" si="464"/>
        <v>-</v>
      </c>
      <c r="W178" s="1049">
        <v>6210</v>
      </c>
      <c r="X178" s="1050">
        <v>8432</v>
      </c>
      <c r="Y178" s="1048">
        <v>8432</v>
      </c>
      <c r="Z178" s="1699">
        <f t="shared" si="465"/>
        <v>1</v>
      </c>
      <c r="AA178" s="1049"/>
      <c r="AB178" s="1050"/>
      <c r="AC178" s="1048"/>
      <c r="AD178" s="1699" t="str">
        <f t="shared" si="466"/>
        <v>-</v>
      </c>
      <c r="AE178" s="1049"/>
      <c r="AF178" s="1050"/>
      <c r="AG178" s="1048"/>
      <c r="AH178" s="1699" t="str">
        <f t="shared" si="467"/>
        <v>-</v>
      </c>
      <c r="AI178" s="1280">
        <f t="shared" si="468"/>
        <v>0</v>
      </c>
      <c r="AJ178" s="1281">
        <f t="shared" si="469"/>
        <v>1500</v>
      </c>
      <c r="AK178" s="1281">
        <f t="shared" si="470"/>
        <v>1500</v>
      </c>
      <c r="AL178" s="1668">
        <f t="shared" si="471"/>
        <v>1</v>
      </c>
      <c r="AM178" s="1049"/>
      <c r="AN178" s="1050"/>
      <c r="AO178" s="1048"/>
      <c r="AP178" s="1699" t="str">
        <f t="shared" si="472"/>
        <v>-</v>
      </c>
      <c r="AQ178" s="1049"/>
      <c r="AR178" s="1050">
        <v>1500</v>
      </c>
      <c r="AS178" s="1048">
        <v>1500</v>
      </c>
      <c r="AT178" s="1699">
        <f t="shared" si="473"/>
        <v>1</v>
      </c>
      <c r="AU178" s="1049"/>
      <c r="AV178" s="1050"/>
      <c r="AW178" s="1048"/>
      <c r="AX178" s="1699" t="str">
        <f t="shared" si="474"/>
        <v>-</v>
      </c>
      <c r="AY178" s="442"/>
    </row>
    <row r="179" spans="1:51">
      <c r="A179" s="483">
        <f t="shared" si="475"/>
        <v>10</v>
      </c>
      <c r="B179" s="1781">
        <v>8</v>
      </c>
      <c r="C179" s="1059" t="s">
        <v>1008</v>
      </c>
      <c r="D179" s="856" t="s">
        <v>1009</v>
      </c>
      <c r="E179" s="1061" t="s">
        <v>1257</v>
      </c>
      <c r="F179" s="859" t="s">
        <v>1010</v>
      </c>
      <c r="G179" s="1280">
        <f t="shared" si="455"/>
        <v>19000</v>
      </c>
      <c r="H179" s="1281">
        <f t="shared" si="456"/>
        <v>1296</v>
      </c>
      <c r="I179" s="1281">
        <f t="shared" si="457"/>
        <v>1296</v>
      </c>
      <c r="J179" s="1668">
        <f t="shared" si="458"/>
        <v>1</v>
      </c>
      <c r="K179" s="1280">
        <f t="shared" si="459"/>
        <v>19000</v>
      </c>
      <c r="L179" s="1281">
        <f t="shared" si="460"/>
        <v>1296</v>
      </c>
      <c r="M179" s="1281">
        <f t="shared" si="461"/>
        <v>1296</v>
      </c>
      <c r="N179" s="1668">
        <f t="shared" si="462"/>
        <v>1</v>
      </c>
      <c r="O179" s="1047"/>
      <c r="P179" s="1048"/>
      <c r="Q179" s="1048"/>
      <c r="R179" s="1699" t="str">
        <f t="shared" si="463"/>
        <v>-</v>
      </c>
      <c r="S179" s="1049"/>
      <c r="T179" s="1050"/>
      <c r="U179" s="1048"/>
      <c r="V179" s="1699" t="str">
        <f t="shared" si="464"/>
        <v>-</v>
      </c>
      <c r="W179" s="1049">
        <v>19000</v>
      </c>
      <c r="X179" s="1050">
        <v>1296</v>
      </c>
      <c r="Y179" s="1048">
        <v>1296</v>
      </c>
      <c r="Z179" s="1699">
        <f t="shared" si="465"/>
        <v>1</v>
      </c>
      <c r="AA179" s="1049"/>
      <c r="AB179" s="1050"/>
      <c r="AC179" s="1048"/>
      <c r="AD179" s="1699" t="str">
        <f t="shared" si="466"/>
        <v>-</v>
      </c>
      <c r="AE179" s="1049"/>
      <c r="AF179" s="1050"/>
      <c r="AG179" s="1048"/>
      <c r="AH179" s="1699" t="str">
        <f t="shared" si="467"/>
        <v>-</v>
      </c>
      <c r="AI179" s="1280">
        <f t="shared" si="468"/>
        <v>0</v>
      </c>
      <c r="AJ179" s="1281">
        <f t="shared" si="469"/>
        <v>0</v>
      </c>
      <c r="AK179" s="1281">
        <f t="shared" si="470"/>
        <v>0</v>
      </c>
      <c r="AL179" s="1668" t="str">
        <f t="shared" si="471"/>
        <v>-</v>
      </c>
      <c r="AM179" s="1049"/>
      <c r="AN179" s="1050"/>
      <c r="AO179" s="1048"/>
      <c r="AP179" s="1699" t="str">
        <f t="shared" si="472"/>
        <v>-</v>
      </c>
      <c r="AQ179" s="1049"/>
      <c r="AR179" s="1050"/>
      <c r="AS179" s="1048"/>
      <c r="AT179" s="1699" t="str">
        <f t="shared" si="473"/>
        <v>-</v>
      </c>
      <c r="AU179" s="1049"/>
      <c r="AV179" s="1050"/>
      <c r="AW179" s="1048"/>
      <c r="AX179" s="1699" t="str">
        <f t="shared" si="474"/>
        <v>-</v>
      </c>
      <c r="AY179" s="442"/>
    </row>
    <row r="180" spans="1:51">
      <c r="A180" s="483">
        <f t="shared" si="475"/>
        <v>11</v>
      </c>
      <c r="B180" s="1781">
        <v>8</v>
      </c>
      <c r="C180" s="1059" t="s">
        <v>732</v>
      </c>
      <c r="D180" s="856" t="s">
        <v>730</v>
      </c>
      <c r="E180" s="1061" t="s">
        <v>1257</v>
      </c>
      <c r="F180" s="859" t="s">
        <v>728</v>
      </c>
      <c r="G180" s="1280">
        <f t="shared" si="455"/>
        <v>0</v>
      </c>
      <c r="H180" s="1281">
        <f t="shared" si="456"/>
        <v>12510</v>
      </c>
      <c r="I180" s="1281">
        <f t="shared" si="457"/>
        <v>7250</v>
      </c>
      <c r="J180" s="1668">
        <f t="shared" si="458"/>
        <v>0.57953637090327736</v>
      </c>
      <c r="K180" s="1280">
        <f t="shared" si="459"/>
        <v>0</v>
      </c>
      <c r="L180" s="1281">
        <f t="shared" si="460"/>
        <v>12510</v>
      </c>
      <c r="M180" s="1281">
        <f t="shared" si="461"/>
        <v>7250</v>
      </c>
      <c r="N180" s="1668">
        <f t="shared" si="462"/>
        <v>0.57953637090327736</v>
      </c>
      <c r="O180" s="1047"/>
      <c r="P180" s="1048"/>
      <c r="Q180" s="1048"/>
      <c r="R180" s="1699" t="str">
        <f t="shared" si="463"/>
        <v>-</v>
      </c>
      <c r="S180" s="1049"/>
      <c r="T180" s="1050"/>
      <c r="U180" s="1048"/>
      <c r="V180" s="1699" t="str">
        <f t="shared" si="464"/>
        <v>-</v>
      </c>
      <c r="W180" s="1049"/>
      <c r="X180" s="1050"/>
      <c r="Y180" s="1048"/>
      <c r="Z180" s="1699" t="str">
        <f t="shared" si="465"/>
        <v>-</v>
      </c>
      <c r="AA180" s="1049"/>
      <c r="AB180" s="1050"/>
      <c r="AC180" s="1048"/>
      <c r="AD180" s="1699" t="str">
        <f t="shared" si="466"/>
        <v>-</v>
      </c>
      <c r="AE180" s="1049"/>
      <c r="AF180" s="1050">
        <f>7250+5260</f>
        <v>12510</v>
      </c>
      <c r="AG180" s="1048">
        <v>7250</v>
      </c>
      <c r="AH180" s="1699">
        <f t="shared" si="467"/>
        <v>0.57953637090327736</v>
      </c>
      <c r="AI180" s="1280">
        <f t="shared" si="468"/>
        <v>0</v>
      </c>
      <c r="AJ180" s="1281">
        <f t="shared" si="469"/>
        <v>0</v>
      </c>
      <c r="AK180" s="1281">
        <f t="shared" si="470"/>
        <v>0</v>
      </c>
      <c r="AL180" s="1668" t="str">
        <f t="shared" si="471"/>
        <v>-</v>
      </c>
      <c r="AM180" s="1049"/>
      <c r="AN180" s="1050"/>
      <c r="AO180" s="1048"/>
      <c r="AP180" s="1699" t="str">
        <f t="shared" si="472"/>
        <v>-</v>
      </c>
      <c r="AQ180" s="1049"/>
      <c r="AR180" s="1050"/>
      <c r="AS180" s="1048"/>
      <c r="AT180" s="1699" t="str">
        <f t="shared" si="473"/>
        <v>-</v>
      </c>
      <c r="AU180" s="1049"/>
      <c r="AV180" s="1050"/>
      <c r="AW180" s="1048"/>
      <c r="AX180" s="1699" t="str">
        <f t="shared" si="474"/>
        <v>-</v>
      </c>
      <c r="AY180" s="442"/>
    </row>
    <row r="181" spans="1:51">
      <c r="A181" s="483">
        <f t="shared" si="475"/>
        <v>12</v>
      </c>
      <c r="B181" s="1781">
        <v>8</v>
      </c>
      <c r="C181" s="1059" t="s">
        <v>729</v>
      </c>
      <c r="D181" s="856" t="s">
        <v>731</v>
      </c>
      <c r="E181" s="1061" t="s">
        <v>1257</v>
      </c>
      <c r="F181" s="859" t="s">
        <v>660</v>
      </c>
      <c r="G181" s="1280">
        <f t="shared" si="455"/>
        <v>13076</v>
      </c>
      <c r="H181" s="1281">
        <f t="shared" si="456"/>
        <v>0</v>
      </c>
      <c r="I181" s="1281">
        <f t="shared" si="457"/>
        <v>0</v>
      </c>
      <c r="J181" s="1668" t="str">
        <f t="shared" si="458"/>
        <v>-</v>
      </c>
      <c r="K181" s="1280">
        <f t="shared" si="459"/>
        <v>13076</v>
      </c>
      <c r="L181" s="1281">
        <f t="shared" si="460"/>
        <v>0</v>
      </c>
      <c r="M181" s="1281">
        <f t="shared" si="461"/>
        <v>0</v>
      </c>
      <c r="N181" s="1668" t="str">
        <f t="shared" si="462"/>
        <v>-</v>
      </c>
      <c r="O181" s="1047"/>
      <c r="P181" s="1048"/>
      <c r="Q181" s="1048"/>
      <c r="R181" s="1699" t="str">
        <f t="shared" si="463"/>
        <v>-</v>
      </c>
      <c r="S181" s="1049"/>
      <c r="T181" s="1050"/>
      <c r="U181" s="1048"/>
      <c r="V181" s="1699" t="str">
        <f t="shared" si="464"/>
        <v>-</v>
      </c>
      <c r="W181" s="1049"/>
      <c r="X181" s="1050"/>
      <c r="Y181" s="1048"/>
      <c r="Z181" s="1699" t="str">
        <f t="shared" si="465"/>
        <v>-</v>
      </c>
      <c r="AA181" s="1049"/>
      <c r="AB181" s="1050"/>
      <c r="AC181" s="1048"/>
      <c r="AD181" s="1699" t="str">
        <f t="shared" si="466"/>
        <v>-</v>
      </c>
      <c r="AE181" s="1049">
        <v>13076</v>
      </c>
      <c r="AF181" s="1050">
        <v>0</v>
      </c>
      <c r="AG181" s="1048"/>
      <c r="AH181" s="1699" t="str">
        <f t="shared" si="467"/>
        <v>-</v>
      </c>
      <c r="AI181" s="1280">
        <f t="shared" si="468"/>
        <v>0</v>
      </c>
      <c r="AJ181" s="1281">
        <f t="shared" si="469"/>
        <v>0</v>
      </c>
      <c r="AK181" s="1281">
        <f t="shared" si="470"/>
        <v>0</v>
      </c>
      <c r="AL181" s="1668" t="str">
        <f t="shared" si="471"/>
        <v>-</v>
      </c>
      <c r="AM181" s="1049"/>
      <c r="AN181" s="1050"/>
      <c r="AO181" s="1048"/>
      <c r="AP181" s="1699" t="str">
        <f t="shared" si="472"/>
        <v>-</v>
      </c>
      <c r="AQ181" s="1049"/>
      <c r="AR181" s="1050"/>
      <c r="AS181" s="1048"/>
      <c r="AT181" s="1699" t="str">
        <f t="shared" si="473"/>
        <v>-</v>
      </c>
      <c r="AU181" s="1049"/>
      <c r="AV181" s="1050"/>
      <c r="AW181" s="1048"/>
      <c r="AX181" s="1699" t="str">
        <f t="shared" si="474"/>
        <v>-</v>
      </c>
      <c r="AY181" s="442"/>
    </row>
    <row r="182" spans="1:51">
      <c r="A182" s="483">
        <f t="shared" si="475"/>
        <v>13</v>
      </c>
      <c r="B182" s="1781">
        <v>8</v>
      </c>
      <c r="C182" s="1059" t="s">
        <v>1011</v>
      </c>
      <c r="D182" s="856" t="s">
        <v>1012</v>
      </c>
      <c r="E182" s="1061" t="s">
        <v>1257</v>
      </c>
      <c r="F182" s="859" t="s">
        <v>1004</v>
      </c>
      <c r="G182" s="1280">
        <f t="shared" si="455"/>
        <v>0</v>
      </c>
      <c r="H182" s="1281">
        <f t="shared" si="456"/>
        <v>17791</v>
      </c>
      <c r="I182" s="1281">
        <f t="shared" si="457"/>
        <v>17791</v>
      </c>
      <c r="J182" s="1668">
        <f t="shared" si="458"/>
        <v>1</v>
      </c>
      <c r="K182" s="1280">
        <f t="shared" si="459"/>
        <v>0</v>
      </c>
      <c r="L182" s="1281">
        <f t="shared" si="460"/>
        <v>17791</v>
      </c>
      <c r="M182" s="1281">
        <f t="shared" si="461"/>
        <v>17791</v>
      </c>
      <c r="N182" s="1668">
        <f t="shared" si="462"/>
        <v>1</v>
      </c>
      <c r="O182" s="1047"/>
      <c r="P182" s="1048"/>
      <c r="Q182" s="1048"/>
      <c r="R182" s="1699" t="str">
        <f t="shared" si="463"/>
        <v>-</v>
      </c>
      <c r="S182" s="1049"/>
      <c r="T182" s="1050"/>
      <c r="U182" s="1048"/>
      <c r="V182" s="1699" t="str">
        <f t="shared" si="464"/>
        <v>-</v>
      </c>
      <c r="W182" s="1049"/>
      <c r="X182" s="1050"/>
      <c r="Y182" s="1048"/>
      <c r="Z182" s="1699" t="str">
        <f t="shared" si="465"/>
        <v>-</v>
      </c>
      <c r="AA182" s="1049"/>
      <c r="AB182" s="1050"/>
      <c r="AC182" s="1048"/>
      <c r="AD182" s="1699" t="str">
        <f t="shared" si="466"/>
        <v>-</v>
      </c>
      <c r="AE182" s="1049"/>
      <c r="AF182" s="1050">
        <f>17991-200</f>
        <v>17791</v>
      </c>
      <c r="AG182" s="1048">
        <f>17991-200</f>
        <v>17791</v>
      </c>
      <c r="AH182" s="1699">
        <f t="shared" si="467"/>
        <v>1</v>
      </c>
      <c r="AI182" s="1280">
        <f t="shared" si="468"/>
        <v>0</v>
      </c>
      <c r="AJ182" s="1281">
        <f t="shared" si="469"/>
        <v>0</v>
      </c>
      <c r="AK182" s="1281">
        <f t="shared" si="470"/>
        <v>0</v>
      </c>
      <c r="AL182" s="1668" t="str">
        <f t="shared" si="471"/>
        <v>-</v>
      </c>
      <c r="AM182" s="1049"/>
      <c r="AN182" s="1050"/>
      <c r="AO182" s="1048"/>
      <c r="AP182" s="1699" t="str">
        <f t="shared" si="472"/>
        <v>-</v>
      </c>
      <c r="AQ182" s="1049"/>
      <c r="AR182" s="1050"/>
      <c r="AS182" s="1048"/>
      <c r="AT182" s="1699" t="str">
        <f t="shared" si="473"/>
        <v>-</v>
      </c>
      <c r="AU182" s="1049"/>
      <c r="AV182" s="1050"/>
      <c r="AW182" s="1048"/>
      <c r="AX182" s="1699" t="str">
        <f t="shared" si="474"/>
        <v>-</v>
      </c>
      <c r="AY182" s="442"/>
    </row>
    <row r="183" spans="1:51">
      <c r="A183" s="483">
        <f t="shared" si="475"/>
        <v>14</v>
      </c>
      <c r="B183" s="1781">
        <v>8</v>
      </c>
      <c r="C183" s="1059" t="s">
        <v>734</v>
      </c>
      <c r="D183" s="856" t="s">
        <v>733</v>
      </c>
      <c r="E183" s="1061" t="s">
        <v>1257</v>
      </c>
      <c r="F183" s="859" t="s">
        <v>661</v>
      </c>
      <c r="G183" s="1280">
        <f t="shared" si="455"/>
        <v>500</v>
      </c>
      <c r="H183" s="1281">
        <f t="shared" si="456"/>
        <v>0</v>
      </c>
      <c r="I183" s="1281">
        <f t="shared" si="457"/>
        <v>0</v>
      </c>
      <c r="J183" s="1668" t="str">
        <f t="shared" si="458"/>
        <v>-</v>
      </c>
      <c r="K183" s="1280">
        <f t="shared" si="459"/>
        <v>500</v>
      </c>
      <c r="L183" s="1281">
        <f t="shared" si="460"/>
        <v>0</v>
      </c>
      <c r="M183" s="1281">
        <f t="shared" si="461"/>
        <v>0</v>
      </c>
      <c r="N183" s="1668" t="str">
        <f t="shared" si="462"/>
        <v>-</v>
      </c>
      <c r="O183" s="1047"/>
      <c r="P183" s="1048"/>
      <c r="Q183" s="1048"/>
      <c r="R183" s="1699" t="str">
        <f t="shared" si="463"/>
        <v>-</v>
      </c>
      <c r="S183" s="1049"/>
      <c r="T183" s="1050"/>
      <c r="U183" s="1048"/>
      <c r="V183" s="1699" t="str">
        <f t="shared" si="464"/>
        <v>-</v>
      </c>
      <c r="W183" s="1049"/>
      <c r="X183" s="1050"/>
      <c r="Y183" s="1048"/>
      <c r="Z183" s="1699" t="str">
        <f t="shared" si="465"/>
        <v>-</v>
      </c>
      <c r="AA183" s="1049"/>
      <c r="AB183" s="1050"/>
      <c r="AC183" s="1048"/>
      <c r="AD183" s="1699" t="str">
        <f t="shared" si="466"/>
        <v>-</v>
      </c>
      <c r="AE183" s="1049">
        <v>500</v>
      </c>
      <c r="AF183" s="1050">
        <v>0</v>
      </c>
      <c r="AG183" s="1048"/>
      <c r="AH183" s="1699" t="str">
        <f t="shared" si="467"/>
        <v>-</v>
      </c>
      <c r="AI183" s="1280">
        <f t="shared" si="468"/>
        <v>0</v>
      </c>
      <c r="AJ183" s="1281">
        <f t="shared" si="469"/>
        <v>0</v>
      </c>
      <c r="AK183" s="1281">
        <f t="shared" si="470"/>
        <v>0</v>
      </c>
      <c r="AL183" s="1668" t="str">
        <f t="shared" si="471"/>
        <v>-</v>
      </c>
      <c r="AM183" s="1049"/>
      <c r="AN183" s="1050"/>
      <c r="AO183" s="1048"/>
      <c r="AP183" s="1699" t="str">
        <f t="shared" si="472"/>
        <v>-</v>
      </c>
      <c r="AQ183" s="1049"/>
      <c r="AR183" s="1050"/>
      <c r="AS183" s="1048"/>
      <c r="AT183" s="1699" t="str">
        <f t="shared" si="473"/>
        <v>-</v>
      </c>
      <c r="AU183" s="1049"/>
      <c r="AV183" s="1050"/>
      <c r="AW183" s="1048"/>
      <c r="AX183" s="1699" t="str">
        <f t="shared" si="474"/>
        <v>-</v>
      </c>
      <c r="AY183" s="442"/>
    </row>
    <row r="184" spans="1:51">
      <c r="A184" s="483">
        <f t="shared" si="475"/>
        <v>15</v>
      </c>
      <c r="B184" s="1781">
        <v>6</v>
      </c>
      <c r="C184" s="1059" t="s">
        <v>716</v>
      </c>
      <c r="D184" s="856" t="s">
        <v>670</v>
      </c>
      <c r="E184" s="1061" t="s">
        <v>1257</v>
      </c>
      <c r="F184" s="859" t="s">
        <v>715</v>
      </c>
      <c r="G184" s="1280">
        <f t="shared" si="455"/>
        <v>0</v>
      </c>
      <c r="H184" s="1281">
        <f t="shared" si="456"/>
        <v>0</v>
      </c>
      <c r="I184" s="1281">
        <f t="shared" si="457"/>
        <v>0</v>
      </c>
      <c r="J184" s="1668" t="str">
        <f t="shared" si="458"/>
        <v>-</v>
      </c>
      <c r="K184" s="1280">
        <f t="shared" si="459"/>
        <v>0</v>
      </c>
      <c r="L184" s="1281">
        <f t="shared" si="460"/>
        <v>0</v>
      </c>
      <c r="M184" s="1281">
        <f t="shared" si="461"/>
        <v>0</v>
      </c>
      <c r="N184" s="1668" t="str">
        <f t="shared" si="462"/>
        <v>-</v>
      </c>
      <c r="O184" s="1047"/>
      <c r="P184" s="1048"/>
      <c r="Q184" s="1048"/>
      <c r="R184" s="1699" t="str">
        <f t="shared" si="463"/>
        <v>-</v>
      </c>
      <c r="S184" s="1049"/>
      <c r="T184" s="1050"/>
      <c r="U184" s="1048"/>
      <c r="V184" s="1699" t="str">
        <f t="shared" si="464"/>
        <v>-</v>
      </c>
      <c r="W184" s="1049"/>
      <c r="X184" s="1050"/>
      <c r="Y184" s="1048"/>
      <c r="Z184" s="1699" t="str">
        <f t="shared" si="465"/>
        <v>-</v>
      </c>
      <c r="AA184" s="1049"/>
      <c r="AB184" s="1050"/>
      <c r="AC184" s="1048"/>
      <c r="AD184" s="1699" t="str">
        <f t="shared" si="466"/>
        <v>-</v>
      </c>
      <c r="AE184" s="1049"/>
      <c r="AF184" s="1050"/>
      <c r="AG184" s="1048"/>
      <c r="AH184" s="1699" t="str">
        <f t="shared" si="467"/>
        <v>-</v>
      </c>
      <c r="AI184" s="1280">
        <f t="shared" si="468"/>
        <v>0</v>
      </c>
      <c r="AJ184" s="1281">
        <f t="shared" si="469"/>
        <v>0</v>
      </c>
      <c r="AK184" s="1281">
        <f t="shared" si="470"/>
        <v>0</v>
      </c>
      <c r="AL184" s="1668" t="str">
        <f t="shared" si="471"/>
        <v>-</v>
      </c>
      <c r="AM184" s="1049"/>
      <c r="AN184" s="1050"/>
      <c r="AO184" s="1048"/>
      <c r="AP184" s="1699" t="str">
        <f t="shared" si="472"/>
        <v>-</v>
      </c>
      <c r="AQ184" s="1049"/>
      <c r="AR184" s="1050"/>
      <c r="AS184" s="1048"/>
      <c r="AT184" s="1699" t="str">
        <f t="shared" si="473"/>
        <v>-</v>
      </c>
      <c r="AU184" s="1049"/>
      <c r="AV184" s="1050"/>
      <c r="AW184" s="1048"/>
      <c r="AX184" s="1699" t="str">
        <f t="shared" si="474"/>
        <v>-</v>
      </c>
      <c r="AY184" s="442"/>
    </row>
    <row r="185" spans="1:51">
      <c r="A185" s="483">
        <f t="shared" si="475"/>
        <v>16</v>
      </c>
      <c r="B185" s="1781">
        <v>6</v>
      </c>
      <c r="C185" s="1059" t="s">
        <v>717</v>
      </c>
      <c r="D185" s="856" t="s">
        <v>671</v>
      </c>
      <c r="E185" s="1061" t="s">
        <v>1257</v>
      </c>
      <c r="F185" s="859" t="s">
        <v>715</v>
      </c>
      <c r="G185" s="1280">
        <f t="shared" si="455"/>
        <v>0</v>
      </c>
      <c r="H185" s="1281">
        <f t="shared" si="456"/>
        <v>0</v>
      </c>
      <c r="I185" s="1281">
        <f t="shared" si="457"/>
        <v>0</v>
      </c>
      <c r="J185" s="1668" t="str">
        <f t="shared" si="458"/>
        <v>-</v>
      </c>
      <c r="K185" s="1280">
        <f t="shared" si="459"/>
        <v>0</v>
      </c>
      <c r="L185" s="1281">
        <f t="shared" si="460"/>
        <v>0</v>
      </c>
      <c r="M185" s="1281">
        <f t="shared" si="461"/>
        <v>0</v>
      </c>
      <c r="N185" s="1668" t="str">
        <f t="shared" si="462"/>
        <v>-</v>
      </c>
      <c r="O185" s="1047"/>
      <c r="P185" s="1048"/>
      <c r="Q185" s="1048"/>
      <c r="R185" s="1699" t="str">
        <f t="shared" si="463"/>
        <v>-</v>
      </c>
      <c r="S185" s="1049"/>
      <c r="T185" s="1050"/>
      <c r="U185" s="1048"/>
      <c r="V185" s="1699" t="str">
        <f t="shared" si="464"/>
        <v>-</v>
      </c>
      <c r="W185" s="1049"/>
      <c r="X185" s="1050"/>
      <c r="Y185" s="1048"/>
      <c r="Z185" s="1699" t="str">
        <f t="shared" si="465"/>
        <v>-</v>
      </c>
      <c r="AA185" s="1049"/>
      <c r="AB185" s="1050"/>
      <c r="AC185" s="1048"/>
      <c r="AD185" s="1699" t="str">
        <f t="shared" si="466"/>
        <v>-</v>
      </c>
      <c r="AE185" s="1049"/>
      <c r="AF185" s="1050"/>
      <c r="AG185" s="1048"/>
      <c r="AH185" s="1699" t="str">
        <f t="shared" si="467"/>
        <v>-</v>
      </c>
      <c r="AI185" s="1280">
        <f t="shared" si="468"/>
        <v>0</v>
      </c>
      <c r="AJ185" s="1281">
        <f t="shared" si="469"/>
        <v>0</v>
      </c>
      <c r="AK185" s="1281">
        <f t="shared" si="470"/>
        <v>0</v>
      </c>
      <c r="AL185" s="1668" t="str">
        <f t="shared" si="471"/>
        <v>-</v>
      </c>
      <c r="AM185" s="1049"/>
      <c r="AN185" s="1050"/>
      <c r="AO185" s="1048"/>
      <c r="AP185" s="1699" t="str">
        <f t="shared" si="472"/>
        <v>-</v>
      </c>
      <c r="AQ185" s="1049"/>
      <c r="AR185" s="1050"/>
      <c r="AS185" s="1048"/>
      <c r="AT185" s="1699" t="str">
        <f t="shared" si="473"/>
        <v>-</v>
      </c>
      <c r="AU185" s="1049"/>
      <c r="AV185" s="1050"/>
      <c r="AW185" s="1048"/>
      <c r="AX185" s="1699" t="str">
        <f t="shared" si="474"/>
        <v>-</v>
      </c>
      <c r="AY185" s="442"/>
    </row>
    <row r="186" spans="1:51">
      <c r="A186" s="483">
        <f t="shared" si="475"/>
        <v>17</v>
      </c>
      <c r="B186" s="1781">
        <v>6</v>
      </c>
      <c r="C186" s="1059" t="s">
        <v>719</v>
      </c>
      <c r="D186" s="856" t="s">
        <v>720</v>
      </c>
      <c r="E186" s="1061" t="s">
        <v>1257</v>
      </c>
      <c r="F186" s="859" t="s">
        <v>718</v>
      </c>
      <c r="G186" s="1280">
        <f t="shared" si="455"/>
        <v>30471</v>
      </c>
      <c r="H186" s="1281">
        <f t="shared" si="456"/>
        <v>102143</v>
      </c>
      <c r="I186" s="1281">
        <f t="shared" si="457"/>
        <v>102143</v>
      </c>
      <c r="J186" s="1668">
        <f t="shared" si="458"/>
        <v>1</v>
      </c>
      <c r="K186" s="1280">
        <f t="shared" si="459"/>
        <v>30471</v>
      </c>
      <c r="L186" s="1281">
        <f t="shared" si="460"/>
        <v>102063</v>
      </c>
      <c r="M186" s="1281">
        <f t="shared" si="461"/>
        <v>102063</v>
      </c>
      <c r="N186" s="1668">
        <f t="shared" si="462"/>
        <v>1</v>
      </c>
      <c r="O186" s="1047">
        <v>14097</v>
      </c>
      <c r="P186" s="1048">
        <v>79917</v>
      </c>
      <c r="Q186" s="1048">
        <v>79917</v>
      </c>
      <c r="R186" s="1699">
        <f t="shared" si="463"/>
        <v>1</v>
      </c>
      <c r="S186" s="1049">
        <v>1374</v>
      </c>
      <c r="T186" s="1050">
        <v>7685</v>
      </c>
      <c r="U186" s="1048">
        <v>7685</v>
      </c>
      <c r="V186" s="1699">
        <f t="shared" si="464"/>
        <v>1</v>
      </c>
      <c r="W186" s="1049">
        <v>15000</v>
      </c>
      <c r="X186" s="1050">
        <v>14461</v>
      </c>
      <c r="Y186" s="1048">
        <v>14461</v>
      </c>
      <c r="Z186" s="1699">
        <f t="shared" si="465"/>
        <v>1</v>
      </c>
      <c r="AA186" s="1049"/>
      <c r="AB186" s="1050"/>
      <c r="AC186" s="1048"/>
      <c r="AD186" s="1699" t="str">
        <f t="shared" si="466"/>
        <v>-</v>
      </c>
      <c r="AE186" s="1049"/>
      <c r="AF186" s="1050"/>
      <c r="AG186" s="1048"/>
      <c r="AH186" s="1699" t="str">
        <f t="shared" si="467"/>
        <v>-</v>
      </c>
      <c r="AI186" s="1280">
        <f t="shared" si="468"/>
        <v>0</v>
      </c>
      <c r="AJ186" s="1281">
        <f t="shared" si="469"/>
        <v>80</v>
      </c>
      <c r="AK186" s="1281">
        <f t="shared" si="470"/>
        <v>80</v>
      </c>
      <c r="AL186" s="1668">
        <f t="shared" si="471"/>
        <v>1</v>
      </c>
      <c r="AM186" s="1049"/>
      <c r="AN186" s="1050">
        <v>80</v>
      </c>
      <c r="AO186" s="1048">
        <v>80</v>
      </c>
      <c r="AP186" s="1699">
        <f t="shared" si="472"/>
        <v>1</v>
      </c>
      <c r="AQ186" s="1049"/>
      <c r="AR186" s="1050"/>
      <c r="AS186" s="1048"/>
      <c r="AT186" s="1699" t="str">
        <f t="shared" si="473"/>
        <v>-</v>
      </c>
      <c r="AU186" s="1049"/>
      <c r="AV186" s="1050"/>
      <c r="AW186" s="1048"/>
      <c r="AX186" s="1699" t="str">
        <f t="shared" si="474"/>
        <v>-</v>
      </c>
      <c r="AY186" s="442"/>
    </row>
    <row r="187" spans="1:51">
      <c r="A187" s="483">
        <f t="shared" si="475"/>
        <v>18</v>
      </c>
      <c r="B187" s="1781">
        <v>6</v>
      </c>
      <c r="C187" s="1059" t="s">
        <v>723</v>
      </c>
      <c r="D187" s="856" t="s">
        <v>724</v>
      </c>
      <c r="E187" s="1061" t="s">
        <v>1257</v>
      </c>
      <c r="F187" s="859" t="s">
        <v>721</v>
      </c>
      <c r="G187" s="1280">
        <f t="shared" si="455"/>
        <v>0</v>
      </c>
      <c r="H187" s="1281">
        <f t="shared" si="456"/>
        <v>0</v>
      </c>
      <c r="I187" s="1281">
        <f t="shared" si="457"/>
        <v>0</v>
      </c>
      <c r="J187" s="1668" t="str">
        <f t="shared" si="458"/>
        <v>-</v>
      </c>
      <c r="K187" s="1280">
        <f t="shared" si="459"/>
        <v>0</v>
      </c>
      <c r="L187" s="1281">
        <f t="shared" si="460"/>
        <v>0</v>
      </c>
      <c r="M187" s="1281">
        <f t="shared" si="461"/>
        <v>0</v>
      </c>
      <c r="N187" s="1668" t="str">
        <f t="shared" si="462"/>
        <v>-</v>
      </c>
      <c r="O187" s="1047"/>
      <c r="P187" s="1048"/>
      <c r="Q187" s="1048"/>
      <c r="R187" s="1699" t="str">
        <f t="shared" si="463"/>
        <v>-</v>
      </c>
      <c r="S187" s="1049"/>
      <c r="T187" s="1050"/>
      <c r="U187" s="1048"/>
      <c r="V187" s="1699" t="str">
        <f t="shared" si="464"/>
        <v>-</v>
      </c>
      <c r="W187" s="1049"/>
      <c r="X187" s="1050"/>
      <c r="Y187" s="1048"/>
      <c r="Z187" s="1699" t="str">
        <f t="shared" si="465"/>
        <v>-</v>
      </c>
      <c r="AA187" s="1049"/>
      <c r="AB187" s="1050"/>
      <c r="AC187" s="1048"/>
      <c r="AD187" s="1699" t="str">
        <f t="shared" si="466"/>
        <v>-</v>
      </c>
      <c r="AE187" s="1049"/>
      <c r="AF187" s="1050"/>
      <c r="AG187" s="1048"/>
      <c r="AH187" s="1699" t="str">
        <f t="shared" si="467"/>
        <v>-</v>
      </c>
      <c r="AI187" s="1280">
        <f t="shared" si="468"/>
        <v>0</v>
      </c>
      <c r="AJ187" s="1281">
        <f t="shared" si="469"/>
        <v>0</v>
      </c>
      <c r="AK187" s="1281">
        <f t="shared" si="470"/>
        <v>0</v>
      </c>
      <c r="AL187" s="1668" t="str">
        <f t="shared" si="471"/>
        <v>-</v>
      </c>
      <c r="AM187" s="1049"/>
      <c r="AN187" s="1050"/>
      <c r="AO187" s="1048"/>
      <c r="AP187" s="1699" t="str">
        <f t="shared" si="472"/>
        <v>-</v>
      </c>
      <c r="AQ187" s="1049"/>
      <c r="AR187" s="1050"/>
      <c r="AS187" s="1048"/>
      <c r="AT187" s="1699" t="str">
        <f t="shared" si="473"/>
        <v>-</v>
      </c>
      <c r="AU187" s="1049"/>
      <c r="AV187" s="1050"/>
      <c r="AW187" s="1048"/>
      <c r="AX187" s="1699" t="str">
        <f t="shared" si="474"/>
        <v>-</v>
      </c>
      <c r="AY187" s="442"/>
    </row>
    <row r="188" spans="1:51">
      <c r="A188" s="483">
        <f t="shared" si="475"/>
        <v>19</v>
      </c>
      <c r="B188" s="1781">
        <v>6</v>
      </c>
      <c r="C188" s="1062" t="s">
        <v>722</v>
      </c>
      <c r="D188" s="856" t="s">
        <v>672</v>
      </c>
      <c r="E188" s="1061" t="s">
        <v>1257</v>
      </c>
      <c r="F188" s="859" t="s">
        <v>721</v>
      </c>
      <c r="G188" s="1280">
        <f t="shared" si="455"/>
        <v>13315</v>
      </c>
      <c r="H188" s="1281">
        <f t="shared" si="456"/>
        <v>74399</v>
      </c>
      <c r="I188" s="1281">
        <f t="shared" si="457"/>
        <v>74399</v>
      </c>
      <c r="J188" s="1668">
        <f t="shared" si="458"/>
        <v>1</v>
      </c>
      <c r="K188" s="1280">
        <f t="shared" si="459"/>
        <v>13315</v>
      </c>
      <c r="L188" s="1281">
        <f t="shared" si="460"/>
        <v>68851</v>
      </c>
      <c r="M188" s="1281">
        <f t="shared" si="461"/>
        <v>68851</v>
      </c>
      <c r="N188" s="1668">
        <f t="shared" si="462"/>
        <v>1</v>
      </c>
      <c r="O188" s="1047">
        <v>12132</v>
      </c>
      <c r="P188" s="1048">
        <v>45526</v>
      </c>
      <c r="Q188" s="1048">
        <v>45526</v>
      </c>
      <c r="R188" s="1699">
        <f t="shared" si="463"/>
        <v>1</v>
      </c>
      <c r="S188" s="1049">
        <v>1183</v>
      </c>
      <c r="T188" s="1050">
        <v>4596</v>
      </c>
      <c r="U188" s="1048">
        <v>4596</v>
      </c>
      <c r="V188" s="1699">
        <f t="shared" si="464"/>
        <v>1</v>
      </c>
      <c r="W188" s="1049"/>
      <c r="X188" s="1050">
        <v>18729</v>
      </c>
      <c r="Y188" s="1048">
        <v>18729</v>
      </c>
      <c r="Z188" s="1699">
        <f t="shared" si="465"/>
        <v>1</v>
      </c>
      <c r="AA188" s="1049"/>
      <c r="AB188" s="1050"/>
      <c r="AC188" s="1048"/>
      <c r="AD188" s="1699" t="str">
        <f t="shared" si="466"/>
        <v>-</v>
      </c>
      <c r="AE188" s="1049"/>
      <c r="AF188" s="1050"/>
      <c r="AG188" s="1048"/>
      <c r="AH188" s="1699" t="str">
        <f t="shared" si="467"/>
        <v>-</v>
      </c>
      <c r="AI188" s="1280">
        <f t="shared" si="468"/>
        <v>0</v>
      </c>
      <c r="AJ188" s="1281">
        <f t="shared" si="469"/>
        <v>5548</v>
      </c>
      <c r="AK188" s="1281">
        <f t="shared" si="470"/>
        <v>5548</v>
      </c>
      <c r="AL188" s="1668">
        <f t="shared" si="471"/>
        <v>1</v>
      </c>
      <c r="AM188" s="1049"/>
      <c r="AN188" s="1050">
        <v>5548</v>
      </c>
      <c r="AO188" s="1048">
        <v>5548</v>
      </c>
      <c r="AP188" s="1699">
        <f t="shared" si="472"/>
        <v>1</v>
      </c>
      <c r="AQ188" s="1049"/>
      <c r="AR188" s="1050"/>
      <c r="AS188" s="1048"/>
      <c r="AT188" s="1699" t="str">
        <f t="shared" si="473"/>
        <v>-</v>
      </c>
      <c r="AU188" s="1049"/>
      <c r="AV188" s="1050"/>
      <c r="AW188" s="1048"/>
      <c r="AX188" s="1699" t="str">
        <f t="shared" si="474"/>
        <v>-</v>
      </c>
      <c r="AY188" s="442"/>
    </row>
    <row r="189" spans="1:51">
      <c r="A189" s="483">
        <f t="shared" si="475"/>
        <v>20</v>
      </c>
      <c r="B189" s="249">
        <v>8</v>
      </c>
      <c r="C189" s="1063" t="s">
        <v>713</v>
      </c>
      <c r="D189" s="862" t="s">
        <v>712</v>
      </c>
      <c r="E189" s="1064" t="s">
        <v>1262</v>
      </c>
      <c r="F189" s="863" t="s">
        <v>1013</v>
      </c>
      <c r="G189" s="1280">
        <f t="shared" si="455"/>
        <v>3500</v>
      </c>
      <c r="H189" s="1281">
        <f t="shared" si="456"/>
        <v>2286</v>
      </c>
      <c r="I189" s="1281">
        <f t="shared" si="457"/>
        <v>2286</v>
      </c>
      <c r="J189" s="1668">
        <f t="shared" si="458"/>
        <v>1</v>
      </c>
      <c r="K189" s="1280">
        <f t="shared" si="459"/>
        <v>3500</v>
      </c>
      <c r="L189" s="1281">
        <f t="shared" si="460"/>
        <v>2286</v>
      </c>
      <c r="M189" s="1281">
        <f t="shared" si="461"/>
        <v>2286</v>
      </c>
      <c r="N189" s="1668">
        <f t="shared" si="462"/>
        <v>1</v>
      </c>
      <c r="O189" s="1047"/>
      <c r="P189" s="1048"/>
      <c r="Q189" s="1048"/>
      <c r="R189" s="1699" t="str">
        <f t="shared" si="463"/>
        <v>-</v>
      </c>
      <c r="S189" s="1049"/>
      <c r="T189" s="1050"/>
      <c r="U189" s="1048"/>
      <c r="V189" s="1699" t="str">
        <f t="shared" si="464"/>
        <v>-</v>
      </c>
      <c r="W189" s="1049">
        <v>3500</v>
      </c>
      <c r="X189" s="1050">
        <v>2286</v>
      </c>
      <c r="Y189" s="1048">
        <v>2286</v>
      </c>
      <c r="Z189" s="1699">
        <f t="shared" si="465"/>
        <v>1</v>
      </c>
      <c r="AA189" s="1049"/>
      <c r="AB189" s="1050"/>
      <c r="AC189" s="1048"/>
      <c r="AD189" s="1699" t="str">
        <f t="shared" si="466"/>
        <v>-</v>
      </c>
      <c r="AE189" s="1049"/>
      <c r="AF189" s="1050"/>
      <c r="AG189" s="1048"/>
      <c r="AH189" s="1699" t="str">
        <f t="shared" si="467"/>
        <v>-</v>
      </c>
      <c r="AI189" s="1280">
        <f t="shared" si="468"/>
        <v>0</v>
      </c>
      <c r="AJ189" s="1281">
        <f t="shared" si="469"/>
        <v>0</v>
      </c>
      <c r="AK189" s="1281">
        <f t="shared" si="470"/>
        <v>0</v>
      </c>
      <c r="AL189" s="1668" t="str">
        <f t="shared" si="471"/>
        <v>-</v>
      </c>
      <c r="AM189" s="1049"/>
      <c r="AN189" s="1050"/>
      <c r="AO189" s="1048"/>
      <c r="AP189" s="1699" t="str">
        <f t="shared" si="472"/>
        <v>-</v>
      </c>
      <c r="AQ189" s="1049"/>
      <c r="AR189" s="1050"/>
      <c r="AS189" s="1048"/>
      <c r="AT189" s="1699" t="str">
        <f t="shared" si="473"/>
        <v>-</v>
      </c>
      <c r="AU189" s="1049"/>
      <c r="AV189" s="1050"/>
      <c r="AW189" s="1048"/>
      <c r="AX189" s="1699" t="str">
        <f t="shared" si="474"/>
        <v>-</v>
      </c>
      <c r="AY189" s="442"/>
    </row>
    <row r="190" spans="1:51">
      <c r="A190" s="483">
        <f t="shared" si="475"/>
        <v>21</v>
      </c>
      <c r="B190" s="1213">
        <v>5</v>
      </c>
      <c r="C190" s="1063" t="s">
        <v>701</v>
      </c>
      <c r="D190" s="862" t="s">
        <v>651</v>
      </c>
      <c r="E190" s="1064" t="s">
        <v>1257</v>
      </c>
      <c r="F190" s="863" t="s">
        <v>651</v>
      </c>
      <c r="G190" s="1280">
        <f t="shared" si="455"/>
        <v>0</v>
      </c>
      <c r="H190" s="1281">
        <f t="shared" si="456"/>
        <v>0</v>
      </c>
      <c r="I190" s="1281">
        <f t="shared" si="457"/>
        <v>0</v>
      </c>
      <c r="J190" s="1668" t="str">
        <f t="shared" si="458"/>
        <v>-</v>
      </c>
      <c r="K190" s="1280">
        <f t="shared" si="459"/>
        <v>0</v>
      </c>
      <c r="L190" s="1281">
        <f t="shared" si="460"/>
        <v>0</v>
      </c>
      <c r="M190" s="1281">
        <f t="shared" si="461"/>
        <v>0</v>
      </c>
      <c r="N190" s="1668" t="str">
        <f t="shared" si="462"/>
        <v>-</v>
      </c>
      <c r="O190" s="1047"/>
      <c r="P190" s="1048"/>
      <c r="Q190" s="1048"/>
      <c r="R190" s="1699" t="str">
        <f t="shared" si="463"/>
        <v>-</v>
      </c>
      <c r="S190" s="1049"/>
      <c r="T190" s="1050"/>
      <c r="U190" s="1048"/>
      <c r="V190" s="1699" t="str">
        <f t="shared" si="464"/>
        <v>-</v>
      </c>
      <c r="W190" s="1049"/>
      <c r="X190" s="1050"/>
      <c r="Y190" s="1048"/>
      <c r="Z190" s="1699" t="str">
        <f t="shared" si="465"/>
        <v>-</v>
      </c>
      <c r="AA190" s="1049"/>
      <c r="AB190" s="1050"/>
      <c r="AC190" s="1048"/>
      <c r="AD190" s="1699" t="str">
        <f t="shared" si="466"/>
        <v>-</v>
      </c>
      <c r="AE190" s="1049"/>
      <c r="AF190" s="1050"/>
      <c r="AG190" s="1048"/>
      <c r="AH190" s="1699" t="str">
        <f t="shared" si="467"/>
        <v>-</v>
      </c>
      <c r="AI190" s="1280">
        <f t="shared" si="468"/>
        <v>0</v>
      </c>
      <c r="AJ190" s="1281">
        <f t="shared" si="469"/>
        <v>0</v>
      </c>
      <c r="AK190" s="1281">
        <f t="shared" si="470"/>
        <v>0</v>
      </c>
      <c r="AL190" s="1668" t="str">
        <f t="shared" si="471"/>
        <v>-</v>
      </c>
      <c r="AM190" s="1049"/>
      <c r="AN190" s="1050"/>
      <c r="AO190" s="1048"/>
      <c r="AP190" s="1699" t="str">
        <f t="shared" si="472"/>
        <v>-</v>
      </c>
      <c r="AQ190" s="1049"/>
      <c r="AR190" s="1050"/>
      <c r="AS190" s="1048"/>
      <c r="AT190" s="1699" t="str">
        <f t="shared" si="473"/>
        <v>-</v>
      </c>
      <c r="AU190" s="1049"/>
      <c r="AV190" s="1050"/>
      <c r="AW190" s="1048"/>
      <c r="AX190" s="1699" t="str">
        <f t="shared" si="474"/>
        <v>-</v>
      </c>
      <c r="AY190" s="442"/>
    </row>
    <row r="191" spans="1:51">
      <c r="A191" s="483">
        <f t="shared" si="475"/>
        <v>22</v>
      </c>
      <c r="B191" s="1213">
        <v>8</v>
      </c>
      <c r="C191" s="1062" t="s">
        <v>703</v>
      </c>
      <c r="D191" s="856" t="s">
        <v>702</v>
      </c>
      <c r="E191" s="1061" t="s">
        <v>1279</v>
      </c>
      <c r="F191" s="859" t="s">
        <v>702</v>
      </c>
      <c r="G191" s="1280">
        <f t="shared" si="455"/>
        <v>0</v>
      </c>
      <c r="H191" s="1281">
        <f t="shared" si="456"/>
        <v>3218</v>
      </c>
      <c r="I191" s="1281">
        <f t="shared" si="457"/>
        <v>3218</v>
      </c>
      <c r="J191" s="1668">
        <f t="shared" si="458"/>
        <v>1</v>
      </c>
      <c r="K191" s="1280">
        <f t="shared" si="459"/>
        <v>0</v>
      </c>
      <c r="L191" s="1281">
        <f t="shared" si="460"/>
        <v>3218</v>
      </c>
      <c r="M191" s="1281">
        <f t="shared" si="461"/>
        <v>3218</v>
      </c>
      <c r="N191" s="1668">
        <f t="shared" si="462"/>
        <v>1</v>
      </c>
      <c r="O191" s="1047"/>
      <c r="P191" s="1048"/>
      <c r="Q191" s="1048"/>
      <c r="R191" s="1699" t="str">
        <f t="shared" si="463"/>
        <v>-</v>
      </c>
      <c r="S191" s="1049"/>
      <c r="T191" s="1050"/>
      <c r="U191" s="1048"/>
      <c r="V191" s="1699" t="str">
        <f t="shared" si="464"/>
        <v>-</v>
      </c>
      <c r="W191" s="1049"/>
      <c r="X191" s="1050">
        <f>18979-14224-1537</f>
        <v>3218</v>
      </c>
      <c r="Y191" s="1050">
        <f>18979-14224-1537</f>
        <v>3218</v>
      </c>
      <c r="Z191" s="1699">
        <f t="shared" si="465"/>
        <v>1</v>
      </c>
      <c r="AA191" s="1049"/>
      <c r="AB191" s="1050"/>
      <c r="AC191" s="1048"/>
      <c r="AD191" s="1699" t="str">
        <f t="shared" si="466"/>
        <v>-</v>
      </c>
      <c r="AE191" s="1049"/>
      <c r="AF191" s="1050"/>
      <c r="AG191" s="1048"/>
      <c r="AH191" s="1699" t="str">
        <f t="shared" si="467"/>
        <v>-</v>
      </c>
      <c r="AI191" s="1280">
        <f t="shared" si="468"/>
        <v>0</v>
      </c>
      <c r="AJ191" s="1281">
        <f t="shared" si="469"/>
        <v>0</v>
      </c>
      <c r="AK191" s="1281">
        <f t="shared" si="470"/>
        <v>0</v>
      </c>
      <c r="AL191" s="1668" t="str">
        <f t="shared" si="471"/>
        <v>-</v>
      </c>
      <c r="AM191" s="1049"/>
      <c r="AN191" s="1050"/>
      <c r="AO191" s="1048"/>
      <c r="AP191" s="1699" t="str">
        <f t="shared" si="472"/>
        <v>-</v>
      </c>
      <c r="AQ191" s="1049"/>
      <c r="AR191" s="1050"/>
      <c r="AS191" s="1048"/>
      <c r="AT191" s="1699" t="str">
        <f t="shared" si="473"/>
        <v>-</v>
      </c>
      <c r="AU191" s="1049"/>
      <c r="AV191" s="1050"/>
      <c r="AW191" s="1048"/>
      <c r="AX191" s="1699" t="str">
        <f t="shared" si="474"/>
        <v>-</v>
      </c>
      <c r="AY191" s="442"/>
    </row>
    <row r="192" spans="1:51">
      <c r="A192" s="483">
        <f t="shared" si="475"/>
        <v>23</v>
      </c>
      <c r="B192" s="249">
        <v>5</v>
      </c>
      <c r="C192" s="1062" t="s">
        <v>704</v>
      </c>
      <c r="D192" s="856" t="s">
        <v>652</v>
      </c>
      <c r="E192" s="1061" t="s">
        <v>1257</v>
      </c>
      <c r="F192" s="859" t="s">
        <v>652</v>
      </c>
      <c r="G192" s="1280">
        <f t="shared" si="455"/>
        <v>29700</v>
      </c>
      <c r="H192" s="1281">
        <f t="shared" si="456"/>
        <v>59568</v>
      </c>
      <c r="I192" s="1281">
        <f t="shared" si="457"/>
        <v>59568</v>
      </c>
      <c r="J192" s="1668">
        <f t="shared" si="458"/>
        <v>1</v>
      </c>
      <c r="K192" s="1280">
        <f t="shared" si="459"/>
        <v>18200</v>
      </c>
      <c r="L192" s="1281">
        <f t="shared" si="460"/>
        <v>37411</v>
      </c>
      <c r="M192" s="1281">
        <f t="shared" si="461"/>
        <v>37411</v>
      </c>
      <c r="N192" s="1668">
        <f t="shared" si="462"/>
        <v>1</v>
      </c>
      <c r="O192" s="1047"/>
      <c r="P192" s="1048"/>
      <c r="Q192" s="1048"/>
      <c r="R192" s="1699" t="str">
        <f t="shared" si="463"/>
        <v>-</v>
      </c>
      <c r="S192" s="1049"/>
      <c r="T192" s="1050"/>
      <c r="U192" s="1048"/>
      <c r="V192" s="1699" t="str">
        <f t="shared" si="464"/>
        <v>-</v>
      </c>
      <c r="W192" s="1049">
        <v>18200</v>
      </c>
      <c r="X192" s="1050">
        <v>37411</v>
      </c>
      <c r="Y192" s="1048">
        <v>37411</v>
      </c>
      <c r="Z192" s="1699">
        <f t="shared" si="465"/>
        <v>1</v>
      </c>
      <c r="AA192" s="1049"/>
      <c r="AB192" s="1050"/>
      <c r="AC192" s="1048"/>
      <c r="AD192" s="1699" t="str">
        <f t="shared" si="466"/>
        <v>-</v>
      </c>
      <c r="AE192" s="1049"/>
      <c r="AF192" s="1050"/>
      <c r="AG192" s="1048"/>
      <c r="AH192" s="1699" t="str">
        <f t="shared" si="467"/>
        <v>-</v>
      </c>
      <c r="AI192" s="1280">
        <f t="shared" si="468"/>
        <v>11500</v>
      </c>
      <c r="AJ192" s="1281">
        <f t="shared" si="469"/>
        <v>22157</v>
      </c>
      <c r="AK192" s="1281">
        <f t="shared" si="470"/>
        <v>22157</v>
      </c>
      <c r="AL192" s="1668">
        <f t="shared" si="471"/>
        <v>1</v>
      </c>
      <c r="AM192" s="1049">
        <v>500</v>
      </c>
      <c r="AN192" s="1050">
        <v>4950</v>
      </c>
      <c r="AO192" s="1048">
        <v>4950</v>
      </c>
      <c r="AP192" s="1699">
        <f t="shared" si="472"/>
        <v>1</v>
      </c>
      <c r="AQ192" s="1049">
        <v>11000</v>
      </c>
      <c r="AR192" s="1050">
        <v>17207</v>
      </c>
      <c r="AS192" s="1048">
        <v>17207</v>
      </c>
      <c r="AT192" s="1699">
        <f t="shared" si="473"/>
        <v>1</v>
      </c>
      <c r="AU192" s="1049"/>
      <c r="AV192" s="1050"/>
      <c r="AW192" s="1048"/>
      <c r="AX192" s="1699" t="str">
        <f t="shared" si="474"/>
        <v>-</v>
      </c>
      <c r="AY192" s="442"/>
    </row>
    <row r="193" spans="1:51">
      <c r="A193" s="483">
        <f t="shared" si="475"/>
        <v>24</v>
      </c>
      <c r="B193" s="249">
        <v>8</v>
      </c>
      <c r="C193" s="1062" t="s">
        <v>725</v>
      </c>
      <c r="D193" s="856" t="s">
        <v>657</v>
      </c>
      <c r="E193" s="1061" t="s">
        <v>1257</v>
      </c>
      <c r="F193" s="859" t="s">
        <v>657</v>
      </c>
      <c r="G193" s="1282">
        <f t="shared" si="455"/>
        <v>0</v>
      </c>
      <c r="H193" s="1283">
        <f t="shared" si="456"/>
        <v>0</v>
      </c>
      <c r="I193" s="1283">
        <f t="shared" si="457"/>
        <v>0</v>
      </c>
      <c r="J193" s="1691" t="str">
        <f t="shared" si="458"/>
        <v>-</v>
      </c>
      <c r="K193" s="1282">
        <f t="shared" si="459"/>
        <v>0</v>
      </c>
      <c r="L193" s="1283">
        <f t="shared" si="460"/>
        <v>0</v>
      </c>
      <c r="M193" s="1283">
        <f t="shared" si="461"/>
        <v>0</v>
      </c>
      <c r="N193" s="1691" t="str">
        <f t="shared" si="462"/>
        <v>-</v>
      </c>
      <c r="O193" s="1047"/>
      <c r="P193" s="1048"/>
      <c r="Q193" s="1048"/>
      <c r="R193" s="1699" t="str">
        <f t="shared" si="463"/>
        <v>-</v>
      </c>
      <c r="S193" s="1056"/>
      <c r="T193" s="1054"/>
      <c r="U193" s="1048"/>
      <c r="V193" s="1699" t="str">
        <f t="shared" si="464"/>
        <v>-</v>
      </c>
      <c r="W193" s="1056"/>
      <c r="X193" s="1054"/>
      <c r="Y193" s="1048"/>
      <c r="Z193" s="1699" t="str">
        <f t="shared" si="465"/>
        <v>-</v>
      </c>
      <c r="AA193" s="1056"/>
      <c r="AB193" s="1054"/>
      <c r="AC193" s="1048"/>
      <c r="AD193" s="1699" t="str">
        <f t="shared" si="466"/>
        <v>-</v>
      </c>
      <c r="AE193" s="1056"/>
      <c r="AF193" s="1054"/>
      <c r="AG193" s="1048"/>
      <c r="AH193" s="1699" t="str">
        <f t="shared" si="467"/>
        <v>-</v>
      </c>
      <c r="AI193" s="1282">
        <f t="shared" si="468"/>
        <v>0</v>
      </c>
      <c r="AJ193" s="1283">
        <f t="shared" si="469"/>
        <v>0</v>
      </c>
      <c r="AK193" s="1283">
        <f t="shared" si="470"/>
        <v>0</v>
      </c>
      <c r="AL193" s="1691" t="str">
        <f t="shared" si="471"/>
        <v>-</v>
      </c>
      <c r="AM193" s="1056"/>
      <c r="AN193" s="1054"/>
      <c r="AO193" s="1048"/>
      <c r="AP193" s="1699" t="str">
        <f t="shared" si="472"/>
        <v>-</v>
      </c>
      <c r="AQ193" s="1056"/>
      <c r="AR193" s="1054"/>
      <c r="AS193" s="1048"/>
      <c r="AT193" s="1699" t="str">
        <f t="shared" si="473"/>
        <v>-</v>
      </c>
      <c r="AU193" s="1056"/>
      <c r="AV193" s="1054"/>
      <c r="AW193" s="1048"/>
      <c r="AX193" s="1699" t="str">
        <f t="shared" si="474"/>
        <v>-</v>
      </c>
      <c r="AY193" s="442"/>
    </row>
    <row r="194" spans="1:51">
      <c r="A194" s="483">
        <f t="shared" si="475"/>
        <v>25</v>
      </c>
      <c r="B194" s="249">
        <v>8</v>
      </c>
      <c r="C194" s="1062" t="s">
        <v>699</v>
      </c>
      <c r="D194" s="856" t="s">
        <v>700</v>
      </c>
      <c r="E194" s="1061" t="s">
        <v>1257</v>
      </c>
      <c r="F194" s="859" t="s">
        <v>1016</v>
      </c>
      <c r="G194" s="1282">
        <f t="shared" si="455"/>
        <v>0</v>
      </c>
      <c r="H194" s="1283">
        <f t="shared" si="456"/>
        <v>0</v>
      </c>
      <c r="I194" s="1283">
        <f t="shared" si="457"/>
        <v>0</v>
      </c>
      <c r="J194" s="1691" t="str">
        <f t="shared" si="458"/>
        <v>-</v>
      </c>
      <c r="K194" s="1282">
        <f t="shared" si="459"/>
        <v>0</v>
      </c>
      <c r="L194" s="1283">
        <f t="shared" si="460"/>
        <v>0</v>
      </c>
      <c r="M194" s="1283">
        <f t="shared" si="461"/>
        <v>0</v>
      </c>
      <c r="N194" s="1691" t="str">
        <f t="shared" si="462"/>
        <v>-</v>
      </c>
      <c r="O194" s="1047"/>
      <c r="P194" s="1048"/>
      <c r="Q194" s="1048"/>
      <c r="R194" s="1699" t="str">
        <f t="shared" si="463"/>
        <v>-</v>
      </c>
      <c r="S194" s="1056"/>
      <c r="T194" s="1054"/>
      <c r="U194" s="1048"/>
      <c r="V194" s="1699" t="str">
        <f t="shared" si="464"/>
        <v>-</v>
      </c>
      <c r="W194" s="1056"/>
      <c r="X194" s="1054"/>
      <c r="Y194" s="1048"/>
      <c r="Z194" s="1699" t="str">
        <f t="shared" si="465"/>
        <v>-</v>
      </c>
      <c r="AA194" s="1056"/>
      <c r="AB194" s="1054"/>
      <c r="AC194" s="1048"/>
      <c r="AD194" s="1699" t="str">
        <f t="shared" si="466"/>
        <v>-</v>
      </c>
      <c r="AE194" s="1056"/>
      <c r="AF194" s="1054"/>
      <c r="AG194" s="1048"/>
      <c r="AH194" s="1699" t="str">
        <f t="shared" si="467"/>
        <v>-</v>
      </c>
      <c r="AI194" s="1282">
        <f t="shared" si="468"/>
        <v>0</v>
      </c>
      <c r="AJ194" s="1283">
        <f t="shared" si="469"/>
        <v>0</v>
      </c>
      <c r="AK194" s="1283">
        <f t="shared" si="470"/>
        <v>0</v>
      </c>
      <c r="AL194" s="1691" t="str">
        <f t="shared" si="471"/>
        <v>-</v>
      </c>
      <c r="AM194" s="1056"/>
      <c r="AN194" s="1054"/>
      <c r="AO194" s="1048"/>
      <c r="AP194" s="1699" t="str">
        <f t="shared" si="472"/>
        <v>-</v>
      </c>
      <c r="AQ194" s="1056"/>
      <c r="AR194" s="1054"/>
      <c r="AS194" s="1048"/>
      <c r="AT194" s="1699" t="str">
        <f t="shared" si="473"/>
        <v>-</v>
      </c>
      <c r="AU194" s="1056"/>
      <c r="AV194" s="1054"/>
      <c r="AW194" s="1048"/>
      <c r="AX194" s="1699" t="str">
        <f t="shared" si="474"/>
        <v>-</v>
      </c>
      <c r="AY194" s="442"/>
    </row>
    <row r="195" spans="1:51">
      <c r="A195" s="483">
        <f t="shared" si="475"/>
        <v>26</v>
      </c>
      <c r="B195" s="249">
        <v>8</v>
      </c>
      <c r="C195" s="1062" t="s">
        <v>697</v>
      </c>
      <c r="D195" s="856" t="s">
        <v>698</v>
      </c>
      <c r="E195" s="1061" t="s">
        <v>1257</v>
      </c>
      <c r="F195" s="859" t="s">
        <v>650</v>
      </c>
      <c r="G195" s="1282">
        <f t="shared" si="455"/>
        <v>3238</v>
      </c>
      <c r="H195" s="1283">
        <f t="shared" si="456"/>
        <v>2711</v>
      </c>
      <c r="I195" s="1283">
        <f t="shared" si="457"/>
        <v>2711</v>
      </c>
      <c r="J195" s="1691">
        <f t="shared" si="458"/>
        <v>1</v>
      </c>
      <c r="K195" s="1282">
        <f t="shared" si="459"/>
        <v>3238</v>
      </c>
      <c r="L195" s="1283">
        <f t="shared" si="460"/>
        <v>2711</v>
      </c>
      <c r="M195" s="1283">
        <f t="shared" si="461"/>
        <v>2711</v>
      </c>
      <c r="N195" s="1691">
        <f t="shared" si="462"/>
        <v>1</v>
      </c>
      <c r="O195" s="1047"/>
      <c r="P195" s="1048"/>
      <c r="Q195" s="1048"/>
      <c r="R195" s="1699" t="str">
        <f t="shared" si="463"/>
        <v>-</v>
      </c>
      <c r="S195" s="1056"/>
      <c r="T195" s="1054"/>
      <c r="U195" s="1048"/>
      <c r="V195" s="1699" t="str">
        <f t="shared" si="464"/>
        <v>-</v>
      </c>
      <c r="W195" s="1056">
        <v>3238</v>
      </c>
      <c r="X195" s="1054">
        <v>2711</v>
      </c>
      <c r="Y195" s="1048">
        <v>2711</v>
      </c>
      <c r="Z195" s="1699">
        <f t="shared" si="465"/>
        <v>1</v>
      </c>
      <c r="AA195" s="1056"/>
      <c r="AB195" s="1054"/>
      <c r="AC195" s="1048"/>
      <c r="AD195" s="1699" t="str">
        <f t="shared" si="466"/>
        <v>-</v>
      </c>
      <c r="AE195" s="1056"/>
      <c r="AF195" s="1054"/>
      <c r="AG195" s="1048"/>
      <c r="AH195" s="1699" t="str">
        <f t="shared" si="467"/>
        <v>-</v>
      </c>
      <c r="AI195" s="1282">
        <f t="shared" si="468"/>
        <v>0</v>
      </c>
      <c r="AJ195" s="1283">
        <f t="shared" si="469"/>
        <v>0</v>
      </c>
      <c r="AK195" s="1283">
        <f t="shared" si="470"/>
        <v>0</v>
      </c>
      <c r="AL195" s="1691" t="str">
        <f t="shared" si="471"/>
        <v>-</v>
      </c>
      <c r="AM195" s="1056"/>
      <c r="AN195" s="1054"/>
      <c r="AO195" s="1048"/>
      <c r="AP195" s="1699" t="str">
        <f t="shared" si="472"/>
        <v>-</v>
      </c>
      <c r="AQ195" s="1056"/>
      <c r="AR195" s="1054"/>
      <c r="AS195" s="1048"/>
      <c r="AT195" s="1699" t="str">
        <f t="shared" si="473"/>
        <v>-</v>
      </c>
      <c r="AU195" s="1056"/>
      <c r="AV195" s="1054"/>
      <c r="AW195" s="1048"/>
      <c r="AX195" s="1699" t="str">
        <f t="shared" si="474"/>
        <v>-</v>
      </c>
      <c r="AY195" s="442"/>
    </row>
    <row r="196" spans="1:51" s="449" customFormat="1">
      <c r="A196" s="483">
        <f t="shared" si="475"/>
        <v>27</v>
      </c>
      <c r="B196" s="249">
        <v>3</v>
      </c>
      <c r="C196" s="1062" t="s">
        <v>705</v>
      </c>
      <c r="D196" s="856" t="s">
        <v>653</v>
      </c>
      <c r="E196" s="1061" t="s">
        <v>1257</v>
      </c>
      <c r="F196" s="859" t="s">
        <v>653</v>
      </c>
      <c r="G196" s="1280">
        <f t="shared" si="455"/>
        <v>27000</v>
      </c>
      <c r="H196" s="1281">
        <f t="shared" si="456"/>
        <v>25301</v>
      </c>
      <c r="I196" s="1281">
        <f t="shared" si="457"/>
        <v>25301</v>
      </c>
      <c r="J196" s="1668">
        <f t="shared" si="458"/>
        <v>1</v>
      </c>
      <c r="K196" s="1280">
        <f t="shared" si="459"/>
        <v>25000</v>
      </c>
      <c r="L196" s="1281">
        <f t="shared" si="460"/>
        <v>25301</v>
      </c>
      <c r="M196" s="1281">
        <f t="shared" si="461"/>
        <v>25301</v>
      </c>
      <c r="N196" s="1668">
        <f t="shared" si="462"/>
        <v>1</v>
      </c>
      <c r="O196" s="1047"/>
      <c r="P196" s="1048"/>
      <c r="Q196" s="1048"/>
      <c r="R196" s="1699" t="str">
        <f t="shared" si="463"/>
        <v>-</v>
      </c>
      <c r="S196" s="1049"/>
      <c r="T196" s="1050"/>
      <c r="U196" s="1048"/>
      <c r="V196" s="1699" t="str">
        <f t="shared" si="464"/>
        <v>-</v>
      </c>
      <c r="W196" s="1049">
        <v>25000</v>
      </c>
      <c r="X196" s="1050">
        <v>25301</v>
      </c>
      <c r="Y196" s="1048">
        <v>25301</v>
      </c>
      <c r="Z196" s="1699">
        <f t="shared" si="465"/>
        <v>1</v>
      </c>
      <c r="AA196" s="1049"/>
      <c r="AB196" s="1050"/>
      <c r="AC196" s="1048"/>
      <c r="AD196" s="1699" t="str">
        <f t="shared" si="466"/>
        <v>-</v>
      </c>
      <c r="AE196" s="1049"/>
      <c r="AF196" s="1050"/>
      <c r="AG196" s="1048"/>
      <c r="AH196" s="1699" t="str">
        <f t="shared" si="467"/>
        <v>-</v>
      </c>
      <c r="AI196" s="1280">
        <f t="shared" si="468"/>
        <v>2000</v>
      </c>
      <c r="AJ196" s="1281">
        <f t="shared" si="469"/>
        <v>0</v>
      </c>
      <c r="AK196" s="1281">
        <f t="shared" si="470"/>
        <v>0</v>
      </c>
      <c r="AL196" s="1668" t="str">
        <f t="shared" si="471"/>
        <v>-</v>
      </c>
      <c r="AM196" s="1049">
        <v>2000</v>
      </c>
      <c r="AN196" s="1050">
        <v>0</v>
      </c>
      <c r="AO196" s="1048"/>
      <c r="AP196" s="1699" t="str">
        <f t="shared" si="472"/>
        <v>-</v>
      </c>
      <c r="AQ196" s="1049"/>
      <c r="AR196" s="1050"/>
      <c r="AS196" s="1048"/>
      <c r="AT196" s="1699" t="str">
        <f t="shared" si="473"/>
        <v>-</v>
      </c>
      <c r="AU196" s="1049"/>
      <c r="AV196" s="1050"/>
      <c r="AW196" s="1048"/>
      <c r="AX196" s="1699" t="str">
        <f t="shared" si="474"/>
        <v>-</v>
      </c>
      <c r="AY196" s="442"/>
    </row>
    <row r="197" spans="1:51" s="449" customFormat="1">
      <c r="A197" s="483">
        <f t="shared" si="475"/>
        <v>28</v>
      </c>
      <c r="B197" s="249">
        <v>4</v>
      </c>
      <c r="C197" s="1062" t="s">
        <v>714</v>
      </c>
      <c r="D197" s="856" t="s">
        <v>655</v>
      </c>
      <c r="E197" s="1061" t="s">
        <v>1264</v>
      </c>
      <c r="F197" s="859" t="s">
        <v>655</v>
      </c>
      <c r="G197" s="1280">
        <f t="shared" si="455"/>
        <v>10792</v>
      </c>
      <c r="H197" s="1281">
        <f t="shared" si="456"/>
        <v>11004</v>
      </c>
      <c r="I197" s="1281">
        <f t="shared" si="457"/>
        <v>11004</v>
      </c>
      <c r="J197" s="1668">
        <f t="shared" si="458"/>
        <v>1</v>
      </c>
      <c r="K197" s="1280">
        <f t="shared" si="459"/>
        <v>10792</v>
      </c>
      <c r="L197" s="1281">
        <f t="shared" si="460"/>
        <v>10153</v>
      </c>
      <c r="M197" s="1281">
        <f t="shared" si="461"/>
        <v>10153</v>
      </c>
      <c r="N197" s="1668">
        <f t="shared" si="462"/>
        <v>1</v>
      </c>
      <c r="O197" s="1047"/>
      <c r="P197" s="1048"/>
      <c r="Q197" s="1048"/>
      <c r="R197" s="1699" t="str">
        <f t="shared" si="463"/>
        <v>-</v>
      </c>
      <c r="S197" s="1049"/>
      <c r="T197" s="1050"/>
      <c r="U197" s="1048"/>
      <c r="V197" s="1699" t="str">
        <f t="shared" si="464"/>
        <v>-</v>
      </c>
      <c r="W197" s="1049">
        <v>10792</v>
      </c>
      <c r="X197" s="1050">
        <v>10153</v>
      </c>
      <c r="Y197" s="1048">
        <v>10153</v>
      </c>
      <c r="Z197" s="1699">
        <f t="shared" si="465"/>
        <v>1</v>
      </c>
      <c r="AA197" s="1049"/>
      <c r="AB197" s="1050"/>
      <c r="AC197" s="1048"/>
      <c r="AD197" s="1699" t="str">
        <f t="shared" si="466"/>
        <v>-</v>
      </c>
      <c r="AE197" s="1049"/>
      <c r="AF197" s="1050"/>
      <c r="AG197" s="1048"/>
      <c r="AH197" s="1699" t="str">
        <f t="shared" si="467"/>
        <v>-</v>
      </c>
      <c r="AI197" s="1280">
        <f t="shared" si="468"/>
        <v>0</v>
      </c>
      <c r="AJ197" s="1281">
        <f t="shared" si="469"/>
        <v>851</v>
      </c>
      <c r="AK197" s="1281">
        <f t="shared" si="470"/>
        <v>851</v>
      </c>
      <c r="AL197" s="1668">
        <f t="shared" si="471"/>
        <v>1</v>
      </c>
      <c r="AM197" s="1049"/>
      <c r="AN197" s="1050">
        <v>851</v>
      </c>
      <c r="AO197" s="1048">
        <v>851</v>
      </c>
      <c r="AP197" s="1699">
        <f t="shared" si="472"/>
        <v>1</v>
      </c>
      <c r="AQ197" s="1049"/>
      <c r="AR197" s="1050"/>
      <c r="AS197" s="1048"/>
      <c r="AT197" s="1699" t="str">
        <f t="shared" si="473"/>
        <v>-</v>
      </c>
      <c r="AU197" s="1049"/>
      <c r="AV197" s="1050"/>
      <c r="AW197" s="1048"/>
      <c r="AX197" s="1699" t="str">
        <f t="shared" si="474"/>
        <v>-</v>
      </c>
      <c r="AY197" s="442"/>
    </row>
    <row r="198" spans="1:51" s="449" customFormat="1" ht="24" customHeight="1">
      <c r="A198" s="483">
        <f t="shared" si="475"/>
        <v>29</v>
      </c>
      <c r="B198" s="249">
        <v>8</v>
      </c>
      <c r="C198" s="1059" t="s">
        <v>706</v>
      </c>
      <c r="D198" s="860" t="s">
        <v>654</v>
      </c>
      <c r="E198" s="1061" t="s">
        <v>1257</v>
      </c>
      <c r="F198" s="861" t="s">
        <v>654</v>
      </c>
      <c r="G198" s="1280">
        <f t="shared" si="455"/>
        <v>113650</v>
      </c>
      <c r="H198" s="1281">
        <f t="shared" si="456"/>
        <v>383302</v>
      </c>
      <c r="I198" s="1281">
        <f t="shared" si="457"/>
        <v>100933</v>
      </c>
      <c r="J198" s="1668">
        <f t="shared" si="458"/>
        <v>0.26332500221757255</v>
      </c>
      <c r="K198" s="1280">
        <f t="shared" si="459"/>
        <v>18439</v>
      </c>
      <c r="L198" s="1281">
        <f t="shared" si="460"/>
        <v>30120</v>
      </c>
      <c r="M198" s="1281">
        <f t="shared" si="461"/>
        <v>30120</v>
      </c>
      <c r="N198" s="1668">
        <f t="shared" si="462"/>
        <v>1</v>
      </c>
      <c r="O198" s="1047"/>
      <c r="P198" s="1048"/>
      <c r="Q198" s="1048"/>
      <c r="R198" s="1699" t="str">
        <f t="shared" si="463"/>
        <v>-</v>
      </c>
      <c r="S198" s="1049"/>
      <c r="T198" s="1050"/>
      <c r="U198" s="1048"/>
      <c r="V198" s="1699" t="str">
        <f t="shared" si="464"/>
        <v>-</v>
      </c>
      <c r="W198" s="1049">
        <v>18439</v>
      </c>
      <c r="X198" s="1050">
        <f>36018-5898</f>
        <v>30120</v>
      </c>
      <c r="Y198" s="1048">
        <f>36018-5898</f>
        <v>30120</v>
      </c>
      <c r="Z198" s="1699">
        <f t="shared" si="465"/>
        <v>1</v>
      </c>
      <c r="AA198" s="1049"/>
      <c r="AB198" s="1050"/>
      <c r="AC198" s="1048"/>
      <c r="AD198" s="1699" t="str">
        <f t="shared" si="466"/>
        <v>-</v>
      </c>
      <c r="AE198" s="1049"/>
      <c r="AF198" s="1050"/>
      <c r="AG198" s="1048"/>
      <c r="AH198" s="1699" t="str">
        <f t="shared" si="467"/>
        <v>-</v>
      </c>
      <c r="AI198" s="1280">
        <f t="shared" si="468"/>
        <v>95211</v>
      </c>
      <c r="AJ198" s="1281">
        <f t="shared" si="469"/>
        <v>353182</v>
      </c>
      <c r="AK198" s="1281">
        <f t="shared" si="470"/>
        <v>70813</v>
      </c>
      <c r="AL198" s="1668">
        <f t="shared" si="471"/>
        <v>0.20050002548261237</v>
      </c>
      <c r="AM198" s="1049">
        <v>92535</v>
      </c>
      <c r="AN198" s="1050">
        <f>21028+30352-1+115184</f>
        <v>166563</v>
      </c>
      <c r="AO198" s="1048">
        <f>21028+30352-1</f>
        <v>51379</v>
      </c>
      <c r="AP198" s="1699">
        <f t="shared" si="472"/>
        <v>0.30846586576850799</v>
      </c>
      <c r="AQ198" s="1049">
        <v>2676</v>
      </c>
      <c r="AR198" s="1050">
        <f>19433+1+167185</f>
        <v>186619</v>
      </c>
      <c r="AS198" s="1050">
        <f>19433+1</f>
        <v>19434</v>
      </c>
      <c r="AT198" s="1699">
        <f t="shared" si="473"/>
        <v>0.10413730649076461</v>
      </c>
      <c r="AU198" s="1049"/>
      <c r="AV198" s="1050"/>
      <c r="AW198" s="1048"/>
      <c r="AX198" s="1699" t="str">
        <f t="shared" si="474"/>
        <v>-</v>
      </c>
      <c r="AY198" s="442"/>
    </row>
    <row r="199" spans="1:51" s="449" customFormat="1" ht="24">
      <c r="A199" s="483">
        <f t="shared" si="475"/>
        <v>30</v>
      </c>
      <c r="B199" s="1781">
        <v>7</v>
      </c>
      <c r="C199" s="1059" t="s">
        <v>703</v>
      </c>
      <c r="D199" s="860" t="s">
        <v>1290</v>
      </c>
      <c r="E199" s="1061" t="s">
        <v>1279</v>
      </c>
      <c r="F199" s="861" t="s">
        <v>1281</v>
      </c>
      <c r="G199" s="1280">
        <f t="shared" si="455"/>
        <v>0</v>
      </c>
      <c r="H199" s="1281">
        <f t="shared" si="456"/>
        <v>1537</v>
      </c>
      <c r="I199" s="1281">
        <f t="shared" si="457"/>
        <v>1537</v>
      </c>
      <c r="J199" s="1668">
        <f t="shared" si="458"/>
        <v>1</v>
      </c>
      <c r="K199" s="1280">
        <f t="shared" si="459"/>
        <v>0</v>
      </c>
      <c r="L199" s="1281">
        <f t="shared" si="460"/>
        <v>1537</v>
      </c>
      <c r="M199" s="1281">
        <f t="shared" si="461"/>
        <v>1537</v>
      </c>
      <c r="N199" s="1668">
        <f t="shared" si="462"/>
        <v>1</v>
      </c>
      <c r="O199" s="1047"/>
      <c r="P199" s="1048"/>
      <c r="Q199" s="1048"/>
      <c r="R199" s="1699" t="str">
        <f t="shared" si="463"/>
        <v>-</v>
      </c>
      <c r="S199" s="1049"/>
      <c r="T199" s="1050"/>
      <c r="U199" s="1048"/>
      <c r="V199" s="1699" t="str">
        <f t="shared" si="464"/>
        <v>-</v>
      </c>
      <c r="W199" s="1049"/>
      <c r="X199" s="1050">
        <v>1537</v>
      </c>
      <c r="Y199" s="1048">
        <v>1537</v>
      </c>
      <c r="Z199" s="1699">
        <f t="shared" si="465"/>
        <v>1</v>
      </c>
      <c r="AA199" s="1049"/>
      <c r="AB199" s="1050"/>
      <c r="AC199" s="1048"/>
      <c r="AD199" s="1699" t="str">
        <f t="shared" si="466"/>
        <v>-</v>
      </c>
      <c r="AE199" s="1049"/>
      <c r="AF199" s="1050"/>
      <c r="AG199" s="1048"/>
      <c r="AH199" s="1699" t="str">
        <f t="shared" si="467"/>
        <v>-</v>
      </c>
      <c r="AI199" s="1280">
        <f t="shared" si="468"/>
        <v>0</v>
      </c>
      <c r="AJ199" s="1281">
        <f t="shared" si="469"/>
        <v>0</v>
      </c>
      <c r="AK199" s="1281">
        <f t="shared" si="470"/>
        <v>0</v>
      </c>
      <c r="AL199" s="1668" t="str">
        <f t="shared" si="471"/>
        <v>-</v>
      </c>
      <c r="AM199" s="1049"/>
      <c r="AN199" s="1050"/>
      <c r="AO199" s="1048"/>
      <c r="AP199" s="1699" t="str">
        <f t="shared" si="472"/>
        <v>-</v>
      </c>
      <c r="AQ199" s="1049"/>
      <c r="AR199" s="1050"/>
      <c r="AS199" s="1048"/>
      <c r="AT199" s="1699" t="str">
        <f t="shared" si="473"/>
        <v>-</v>
      </c>
      <c r="AU199" s="1049"/>
      <c r="AV199" s="1050"/>
      <c r="AW199" s="1048"/>
      <c r="AX199" s="1699" t="str">
        <f t="shared" si="474"/>
        <v>-</v>
      </c>
      <c r="AY199" s="442"/>
    </row>
    <row r="200" spans="1:51" s="449" customFormat="1" ht="12" customHeight="1">
      <c r="A200" s="483">
        <f t="shared" si="475"/>
        <v>31</v>
      </c>
      <c r="B200" s="1781">
        <v>7</v>
      </c>
      <c r="C200" s="1059" t="s">
        <v>703</v>
      </c>
      <c r="D200" s="860" t="s">
        <v>1290</v>
      </c>
      <c r="E200" s="1061" t="s">
        <v>1279</v>
      </c>
      <c r="F200" s="861" t="s">
        <v>1282</v>
      </c>
      <c r="G200" s="1280">
        <f t="shared" si="455"/>
        <v>0</v>
      </c>
      <c r="H200" s="1281">
        <f t="shared" si="456"/>
        <v>0</v>
      </c>
      <c r="I200" s="1281">
        <f t="shared" si="457"/>
        <v>0</v>
      </c>
      <c r="J200" s="1668" t="str">
        <f t="shared" si="458"/>
        <v>-</v>
      </c>
      <c r="K200" s="1280">
        <f t="shared" si="459"/>
        <v>0</v>
      </c>
      <c r="L200" s="1281">
        <f t="shared" si="460"/>
        <v>0</v>
      </c>
      <c r="M200" s="1281">
        <f t="shared" si="461"/>
        <v>0</v>
      </c>
      <c r="N200" s="1668" t="str">
        <f t="shared" si="462"/>
        <v>-</v>
      </c>
      <c r="O200" s="1047"/>
      <c r="P200" s="1048"/>
      <c r="Q200" s="1048"/>
      <c r="R200" s="1699" t="str">
        <f t="shared" si="463"/>
        <v>-</v>
      </c>
      <c r="S200" s="1049"/>
      <c r="T200" s="1050"/>
      <c r="U200" s="1048"/>
      <c r="V200" s="1699" t="str">
        <f t="shared" si="464"/>
        <v>-</v>
      </c>
      <c r="W200" s="1049"/>
      <c r="X200" s="1050"/>
      <c r="Y200" s="1048"/>
      <c r="Z200" s="1699" t="str">
        <f t="shared" si="465"/>
        <v>-</v>
      </c>
      <c r="AA200" s="1049"/>
      <c r="AB200" s="1050"/>
      <c r="AC200" s="1048"/>
      <c r="AD200" s="1699" t="str">
        <f t="shared" si="466"/>
        <v>-</v>
      </c>
      <c r="AE200" s="1049"/>
      <c r="AF200" s="1050"/>
      <c r="AG200" s="1048"/>
      <c r="AH200" s="1699" t="str">
        <f t="shared" si="467"/>
        <v>-</v>
      </c>
      <c r="AI200" s="1280">
        <f t="shared" si="468"/>
        <v>0</v>
      </c>
      <c r="AJ200" s="1281">
        <f t="shared" si="469"/>
        <v>0</v>
      </c>
      <c r="AK200" s="1281">
        <f t="shared" si="470"/>
        <v>0</v>
      </c>
      <c r="AL200" s="1668" t="str">
        <f t="shared" si="471"/>
        <v>-</v>
      </c>
      <c r="AM200" s="1049"/>
      <c r="AN200" s="1050"/>
      <c r="AO200" s="1048"/>
      <c r="AP200" s="1699" t="str">
        <f t="shared" si="472"/>
        <v>-</v>
      </c>
      <c r="AQ200" s="1049"/>
      <c r="AR200" s="1050"/>
      <c r="AS200" s="1048"/>
      <c r="AT200" s="1699" t="str">
        <f t="shared" si="473"/>
        <v>-</v>
      </c>
      <c r="AU200" s="1049"/>
      <c r="AV200" s="1050"/>
      <c r="AW200" s="1048"/>
      <c r="AX200" s="1699" t="str">
        <f t="shared" si="474"/>
        <v>-</v>
      </c>
      <c r="AY200" s="442"/>
    </row>
    <row r="201" spans="1:51" s="449" customFormat="1" ht="12" customHeight="1">
      <c r="A201" s="483">
        <f t="shared" si="475"/>
        <v>32</v>
      </c>
      <c r="B201" s="1781">
        <v>7</v>
      </c>
      <c r="C201" s="1059" t="s">
        <v>703</v>
      </c>
      <c r="D201" s="860" t="s">
        <v>1290</v>
      </c>
      <c r="E201" s="1061" t="s">
        <v>1279</v>
      </c>
      <c r="F201" s="861" t="s">
        <v>1283</v>
      </c>
      <c r="G201" s="1280">
        <f t="shared" si="455"/>
        <v>0</v>
      </c>
      <c r="H201" s="1281">
        <f t="shared" si="456"/>
        <v>29635</v>
      </c>
      <c r="I201" s="1281">
        <f t="shared" si="457"/>
        <v>29635</v>
      </c>
      <c r="J201" s="1668">
        <f t="shared" si="458"/>
        <v>1</v>
      </c>
      <c r="K201" s="1280">
        <f t="shared" si="459"/>
        <v>0</v>
      </c>
      <c r="L201" s="1281">
        <f t="shared" si="460"/>
        <v>14224</v>
      </c>
      <c r="M201" s="1281">
        <f t="shared" si="461"/>
        <v>14224</v>
      </c>
      <c r="N201" s="1668">
        <f t="shared" si="462"/>
        <v>1</v>
      </c>
      <c r="O201" s="1047"/>
      <c r="P201" s="1048"/>
      <c r="Q201" s="1048"/>
      <c r="R201" s="1699" t="str">
        <f t="shared" si="463"/>
        <v>-</v>
      </c>
      <c r="S201" s="1049"/>
      <c r="T201" s="1050"/>
      <c r="U201" s="1048"/>
      <c r="V201" s="1699" t="str">
        <f t="shared" si="464"/>
        <v>-</v>
      </c>
      <c r="W201" s="1049"/>
      <c r="X201" s="1050">
        <v>14224</v>
      </c>
      <c r="Y201" s="1048">
        <v>14224</v>
      </c>
      <c r="Z201" s="1699">
        <f t="shared" si="465"/>
        <v>1</v>
      </c>
      <c r="AA201" s="1049"/>
      <c r="AB201" s="1050"/>
      <c r="AC201" s="1048"/>
      <c r="AD201" s="1699" t="str">
        <f t="shared" si="466"/>
        <v>-</v>
      </c>
      <c r="AE201" s="1049"/>
      <c r="AF201" s="1050"/>
      <c r="AG201" s="1048"/>
      <c r="AH201" s="1699" t="str">
        <f t="shared" si="467"/>
        <v>-</v>
      </c>
      <c r="AI201" s="1280">
        <f t="shared" si="468"/>
        <v>0</v>
      </c>
      <c r="AJ201" s="1281">
        <f t="shared" si="469"/>
        <v>15411</v>
      </c>
      <c r="AK201" s="1281">
        <f t="shared" si="470"/>
        <v>15411</v>
      </c>
      <c r="AL201" s="1668">
        <f t="shared" si="471"/>
        <v>1</v>
      </c>
      <c r="AM201" s="1049"/>
      <c r="AN201" s="1050">
        <v>15411</v>
      </c>
      <c r="AO201" s="1048">
        <v>15411</v>
      </c>
      <c r="AP201" s="1699">
        <f t="shared" si="472"/>
        <v>1</v>
      </c>
      <c r="AQ201" s="1049"/>
      <c r="AR201" s="1050"/>
      <c r="AS201" s="1048"/>
      <c r="AT201" s="1699" t="str">
        <f t="shared" si="473"/>
        <v>-</v>
      </c>
      <c r="AU201" s="1049"/>
      <c r="AV201" s="1050"/>
      <c r="AW201" s="1048"/>
      <c r="AX201" s="1699" t="str">
        <f t="shared" si="474"/>
        <v>-</v>
      </c>
      <c r="AY201" s="442"/>
    </row>
    <row r="202" spans="1:51" s="449" customFormat="1" ht="12" customHeight="1">
      <c r="A202" s="483">
        <f t="shared" si="475"/>
        <v>33</v>
      </c>
      <c r="B202" s="1781">
        <v>7</v>
      </c>
      <c r="C202" s="1059" t="s">
        <v>1286</v>
      </c>
      <c r="D202" s="860" t="s">
        <v>1284</v>
      </c>
      <c r="E202" s="1061" t="s">
        <v>1257</v>
      </c>
      <c r="F202" s="861" t="s">
        <v>1285</v>
      </c>
      <c r="G202" s="1280">
        <f t="shared" ref="G202:G233" si="476">+K202+AI202</f>
        <v>0</v>
      </c>
      <c r="H202" s="1281">
        <f t="shared" ref="H202:H233" si="477">+L202+AJ202</f>
        <v>3815</v>
      </c>
      <c r="I202" s="1281">
        <f t="shared" ref="I202:I233" si="478">+M202+AK202</f>
        <v>3815</v>
      </c>
      <c r="J202" s="1668">
        <f t="shared" si="458"/>
        <v>1</v>
      </c>
      <c r="K202" s="1280">
        <f t="shared" ref="K202:K233" si="479">+O202+S202+W202+AA202+AE202</f>
        <v>0</v>
      </c>
      <c r="L202" s="1281">
        <f t="shared" ref="L202:L233" si="480">+P202+T202+X202+AB202+AF202</f>
        <v>3815</v>
      </c>
      <c r="M202" s="1281">
        <f t="shared" ref="M202:M233" si="481">+Q202+U202+Y202+AC202+AG202</f>
        <v>3815</v>
      </c>
      <c r="N202" s="1668">
        <f t="shared" si="462"/>
        <v>1</v>
      </c>
      <c r="O202" s="1047"/>
      <c r="P202" s="1048"/>
      <c r="Q202" s="1048"/>
      <c r="R202" s="1699" t="str">
        <f t="shared" si="463"/>
        <v>-</v>
      </c>
      <c r="S202" s="1049"/>
      <c r="T202" s="1050"/>
      <c r="U202" s="1048"/>
      <c r="V202" s="1699" t="str">
        <f t="shared" si="464"/>
        <v>-</v>
      </c>
      <c r="W202" s="1049"/>
      <c r="X202" s="1050">
        <v>3815</v>
      </c>
      <c r="Y202" s="1048">
        <v>3815</v>
      </c>
      <c r="Z202" s="1699">
        <f t="shared" si="465"/>
        <v>1</v>
      </c>
      <c r="AA202" s="1049"/>
      <c r="AB202" s="1050"/>
      <c r="AC202" s="1048"/>
      <c r="AD202" s="1699" t="str">
        <f t="shared" si="466"/>
        <v>-</v>
      </c>
      <c r="AE202" s="1049"/>
      <c r="AF202" s="1050"/>
      <c r="AG202" s="1048"/>
      <c r="AH202" s="1699" t="str">
        <f t="shared" si="467"/>
        <v>-</v>
      </c>
      <c r="AI202" s="1280">
        <f t="shared" ref="AI202:AI233" si="482">+AM202+AQ202+AU202</f>
        <v>0</v>
      </c>
      <c r="AJ202" s="1281">
        <f t="shared" ref="AJ202:AJ233" si="483">+AN202+AR202+AV202</f>
        <v>0</v>
      </c>
      <c r="AK202" s="1281">
        <f t="shared" ref="AK202:AK233" si="484">+AO202+AS202+AW202</f>
        <v>0</v>
      </c>
      <c r="AL202" s="1668" t="str">
        <f t="shared" si="471"/>
        <v>-</v>
      </c>
      <c r="AM202" s="1049"/>
      <c r="AN202" s="1050"/>
      <c r="AO202" s="1048"/>
      <c r="AP202" s="1699" t="str">
        <f t="shared" si="472"/>
        <v>-</v>
      </c>
      <c r="AQ202" s="1049"/>
      <c r="AR202" s="1050"/>
      <c r="AS202" s="1048"/>
      <c r="AT202" s="1699" t="str">
        <f t="shared" si="473"/>
        <v>-</v>
      </c>
      <c r="AU202" s="1049"/>
      <c r="AV202" s="1050"/>
      <c r="AW202" s="1048"/>
      <c r="AX202" s="1699" t="str">
        <f t="shared" si="474"/>
        <v>-</v>
      </c>
      <c r="AY202" s="442"/>
    </row>
    <row r="203" spans="1:51" s="449" customFormat="1" ht="12" customHeight="1">
      <c r="A203" s="483">
        <f t="shared" si="475"/>
        <v>34</v>
      </c>
      <c r="B203" s="1781">
        <v>7</v>
      </c>
      <c r="C203" s="1059" t="s">
        <v>1087</v>
      </c>
      <c r="D203" s="860" t="s">
        <v>1289</v>
      </c>
      <c r="E203" s="1061" t="s">
        <v>1257</v>
      </c>
      <c r="F203" s="861" t="s">
        <v>1288</v>
      </c>
      <c r="G203" s="1280">
        <f t="shared" si="476"/>
        <v>0</v>
      </c>
      <c r="H203" s="1281">
        <f t="shared" si="477"/>
        <v>7204</v>
      </c>
      <c r="I203" s="1281">
        <f t="shared" si="478"/>
        <v>7204</v>
      </c>
      <c r="J203" s="1668">
        <f t="shared" si="458"/>
        <v>1</v>
      </c>
      <c r="K203" s="1280">
        <f t="shared" si="479"/>
        <v>0</v>
      </c>
      <c r="L203" s="1281">
        <f t="shared" si="480"/>
        <v>508</v>
      </c>
      <c r="M203" s="1281">
        <f t="shared" si="481"/>
        <v>508</v>
      </c>
      <c r="N203" s="1668">
        <f t="shared" si="462"/>
        <v>1</v>
      </c>
      <c r="O203" s="1047"/>
      <c r="P203" s="1048"/>
      <c r="Q203" s="1048"/>
      <c r="R203" s="1699" t="str">
        <f t="shared" si="463"/>
        <v>-</v>
      </c>
      <c r="S203" s="1049"/>
      <c r="T203" s="1050"/>
      <c r="U203" s="1048"/>
      <c r="V203" s="1699" t="str">
        <f t="shared" si="464"/>
        <v>-</v>
      </c>
      <c r="W203" s="1049"/>
      <c r="X203" s="1050">
        <v>489</v>
      </c>
      <c r="Y203" s="1048">
        <v>489</v>
      </c>
      <c r="Z203" s="1699">
        <f t="shared" si="465"/>
        <v>1</v>
      </c>
      <c r="AA203" s="1049"/>
      <c r="AB203" s="1050"/>
      <c r="AC203" s="1048"/>
      <c r="AD203" s="1699" t="str">
        <f t="shared" si="466"/>
        <v>-</v>
      </c>
      <c r="AE203" s="1049"/>
      <c r="AF203" s="1050">
        <v>19</v>
      </c>
      <c r="AG203" s="1048">
        <v>19</v>
      </c>
      <c r="AH203" s="1699">
        <f t="shared" si="467"/>
        <v>1</v>
      </c>
      <c r="AI203" s="1280">
        <f t="shared" si="482"/>
        <v>0</v>
      </c>
      <c r="AJ203" s="1281">
        <f t="shared" si="483"/>
        <v>6696</v>
      </c>
      <c r="AK203" s="1281">
        <f t="shared" si="484"/>
        <v>6696</v>
      </c>
      <c r="AL203" s="1668">
        <f t="shared" si="471"/>
        <v>1</v>
      </c>
      <c r="AM203" s="1049"/>
      <c r="AN203" s="1050">
        <v>6696</v>
      </c>
      <c r="AO203" s="1048">
        <v>6696</v>
      </c>
      <c r="AP203" s="1699">
        <f t="shared" si="472"/>
        <v>1</v>
      </c>
      <c r="AQ203" s="1049"/>
      <c r="AR203" s="1050"/>
      <c r="AS203" s="1048"/>
      <c r="AT203" s="1699" t="str">
        <f t="shared" si="473"/>
        <v>-</v>
      </c>
      <c r="AU203" s="1049"/>
      <c r="AV203" s="1050"/>
      <c r="AW203" s="1048"/>
      <c r="AX203" s="1699" t="str">
        <f t="shared" si="474"/>
        <v>-</v>
      </c>
      <c r="AY203" s="442"/>
    </row>
    <row r="204" spans="1:51" s="449" customFormat="1" ht="12" customHeight="1">
      <c r="A204" s="483">
        <f t="shared" si="475"/>
        <v>35</v>
      </c>
      <c r="B204" s="1781">
        <v>7</v>
      </c>
      <c r="C204" s="1059" t="s">
        <v>1291</v>
      </c>
      <c r="D204" s="860" t="s">
        <v>1292</v>
      </c>
      <c r="E204" s="1061" t="s">
        <v>1257</v>
      </c>
      <c r="F204" s="861" t="s">
        <v>1293</v>
      </c>
      <c r="G204" s="1280">
        <f t="shared" si="476"/>
        <v>6672</v>
      </c>
      <c r="H204" s="1281">
        <f t="shared" si="477"/>
        <v>5556</v>
      </c>
      <c r="I204" s="1281">
        <f t="shared" si="478"/>
        <v>5556</v>
      </c>
      <c r="J204" s="1668">
        <f t="shared" si="458"/>
        <v>1</v>
      </c>
      <c r="K204" s="1280">
        <f t="shared" si="479"/>
        <v>0</v>
      </c>
      <c r="L204" s="1281">
        <f t="shared" si="480"/>
        <v>5556</v>
      </c>
      <c r="M204" s="1281">
        <f t="shared" si="481"/>
        <v>5556</v>
      </c>
      <c r="N204" s="1668">
        <f t="shared" si="462"/>
        <v>1</v>
      </c>
      <c r="O204" s="1047"/>
      <c r="P204" s="1048"/>
      <c r="Q204" s="1048"/>
      <c r="R204" s="1699" t="str">
        <f t="shared" si="463"/>
        <v>-</v>
      </c>
      <c r="S204" s="1049"/>
      <c r="T204" s="1050"/>
      <c r="U204" s="1048"/>
      <c r="V204" s="1699" t="str">
        <f t="shared" si="464"/>
        <v>-</v>
      </c>
      <c r="W204" s="1049"/>
      <c r="X204" s="1050">
        <v>5556</v>
      </c>
      <c r="Y204" s="1048">
        <v>5556</v>
      </c>
      <c r="Z204" s="1699">
        <f t="shared" si="465"/>
        <v>1</v>
      </c>
      <c r="AA204" s="1049"/>
      <c r="AB204" s="1050"/>
      <c r="AC204" s="1048"/>
      <c r="AD204" s="1699" t="str">
        <f t="shared" si="466"/>
        <v>-</v>
      </c>
      <c r="AE204" s="1049"/>
      <c r="AF204" s="1050"/>
      <c r="AG204" s="1048"/>
      <c r="AH204" s="1699" t="str">
        <f t="shared" si="467"/>
        <v>-</v>
      </c>
      <c r="AI204" s="1280">
        <f t="shared" si="482"/>
        <v>6672</v>
      </c>
      <c r="AJ204" s="1281">
        <f t="shared" si="483"/>
        <v>0</v>
      </c>
      <c r="AK204" s="1281">
        <f t="shared" si="484"/>
        <v>0</v>
      </c>
      <c r="AL204" s="1668" t="str">
        <f t="shared" si="471"/>
        <v>-</v>
      </c>
      <c r="AM204" s="1049">
        <v>6672</v>
      </c>
      <c r="AN204" s="1050">
        <v>0</v>
      </c>
      <c r="AO204" s="1048"/>
      <c r="AP204" s="1699" t="str">
        <f t="shared" si="472"/>
        <v>-</v>
      </c>
      <c r="AQ204" s="1049"/>
      <c r="AR204" s="1050"/>
      <c r="AS204" s="1048"/>
      <c r="AT204" s="1699" t="str">
        <f t="shared" si="473"/>
        <v>-</v>
      </c>
      <c r="AU204" s="1049"/>
      <c r="AV204" s="1050"/>
      <c r="AW204" s="1048"/>
      <c r="AX204" s="1699" t="str">
        <f t="shared" si="474"/>
        <v>-</v>
      </c>
      <c r="AY204" s="442"/>
    </row>
    <row r="205" spans="1:51" s="449" customFormat="1" ht="12" customHeight="1">
      <c r="A205" s="483">
        <f t="shared" si="475"/>
        <v>36</v>
      </c>
      <c r="B205" s="1781">
        <v>7</v>
      </c>
      <c r="C205" s="1059" t="s">
        <v>711</v>
      </c>
      <c r="D205" s="860" t="s">
        <v>1295</v>
      </c>
      <c r="E205" s="1061" t="s">
        <v>1260</v>
      </c>
      <c r="F205" s="861" t="s">
        <v>1294</v>
      </c>
      <c r="G205" s="1280">
        <f t="shared" si="476"/>
        <v>0</v>
      </c>
      <c r="H205" s="1281">
        <f t="shared" si="477"/>
        <v>579</v>
      </c>
      <c r="I205" s="1281">
        <f t="shared" si="478"/>
        <v>579</v>
      </c>
      <c r="J205" s="1668">
        <f t="shared" si="458"/>
        <v>1</v>
      </c>
      <c r="K205" s="1280">
        <f t="shared" si="479"/>
        <v>0</v>
      </c>
      <c r="L205" s="1281">
        <f t="shared" si="480"/>
        <v>579</v>
      </c>
      <c r="M205" s="1281">
        <f t="shared" si="481"/>
        <v>579</v>
      </c>
      <c r="N205" s="1668">
        <f t="shared" si="462"/>
        <v>1</v>
      </c>
      <c r="O205" s="1047"/>
      <c r="P205" s="1048"/>
      <c r="Q205" s="1048"/>
      <c r="R205" s="1699" t="str">
        <f t="shared" si="463"/>
        <v>-</v>
      </c>
      <c r="S205" s="1049"/>
      <c r="T205" s="1050"/>
      <c r="U205" s="1048"/>
      <c r="V205" s="1699" t="str">
        <f t="shared" si="464"/>
        <v>-</v>
      </c>
      <c r="W205" s="1049"/>
      <c r="X205" s="1050">
        <v>398</v>
      </c>
      <c r="Y205" s="1048">
        <v>398</v>
      </c>
      <c r="Z205" s="1699">
        <f t="shared" si="465"/>
        <v>1</v>
      </c>
      <c r="AA205" s="1049"/>
      <c r="AB205" s="1050"/>
      <c r="AC205" s="1048"/>
      <c r="AD205" s="1699" t="str">
        <f t="shared" si="466"/>
        <v>-</v>
      </c>
      <c r="AE205" s="1049"/>
      <c r="AF205" s="1050">
        <v>181</v>
      </c>
      <c r="AG205" s="1048">
        <v>181</v>
      </c>
      <c r="AH205" s="1699">
        <f t="shared" si="467"/>
        <v>1</v>
      </c>
      <c r="AI205" s="1280">
        <f t="shared" si="482"/>
        <v>0</v>
      </c>
      <c r="AJ205" s="1281">
        <f t="shared" si="483"/>
        <v>0</v>
      </c>
      <c r="AK205" s="1281">
        <f t="shared" si="484"/>
        <v>0</v>
      </c>
      <c r="AL205" s="1668" t="str">
        <f t="shared" si="471"/>
        <v>-</v>
      </c>
      <c r="AM205" s="1049"/>
      <c r="AN205" s="1050"/>
      <c r="AO205" s="1048"/>
      <c r="AP205" s="1699" t="str">
        <f t="shared" si="472"/>
        <v>-</v>
      </c>
      <c r="AQ205" s="1049"/>
      <c r="AR205" s="1050"/>
      <c r="AS205" s="1048"/>
      <c r="AT205" s="1699" t="str">
        <f t="shared" si="473"/>
        <v>-</v>
      </c>
      <c r="AU205" s="1049"/>
      <c r="AV205" s="1050"/>
      <c r="AW205" s="1048"/>
      <c r="AX205" s="1699" t="str">
        <f t="shared" si="474"/>
        <v>-</v>
      </c>
      <c r="AY205" s="442"/>
    </row>
    <row r="206" spans="1:51" s="449" customFormat="1">
      <c r="A206" s="483">
        <f t="shared" si="475"/>
        <v>37</v>
      </c>
      <c r="B206" s="1781">
        <v>7</v>
      </c>
      <c r="C206" s="1062" t="s">
        <v>1296</v>
      </c>
      <c r="D206" s="856" t="s">
        <v>1298</v>
      </c>
      <c r="E206" s="1061" t="s">
        <v>1257</v>
      </c>
      <c r="F206" s="859" t="s">
        <v>1297</v>
      </c>
      <c r="G206" s="1280">
        <f t="shared" si="476"/>
        <v>0</v>
      </c>
      <c r="H206" s="1281">
        <f t="shared" si="477"/>
        <v>4035</v>
      </c>
      <c r="I206" s="1281">
        <f t="shared" si="478"/>
        <v>4035</v>
      </c>
      <c r="J206" s="1668">
        <f t="shared" si="458"/>
        <v>1</v>
      </c>
      <c r="K206" s="1280">
        <f t="shared" si="479"/>
        <v>0</v>
      </c>
      <c r="L206" s="1281">
        <f t="shared" si="480"/>
        <v>4035</v>
      </c>
      <c r="M206" s="1281">
        <f t="shared" si="481"/>
        <v>4035</v>
      </c>
      <c r="N206" s="1668">
        <f t="shared" si="462"/>
        <v>1</v>
      </c>
      <c r="O206" s="1047"/>
      <c r="P206" s="1048">
        <v>3338</v>
      </c>
      <c r="Q206" s="1048">
        <v>3338</v>
      </c>
      <c r="R206" s="1699">
        <f t="shared" si="463"/>
        <v>1</v>
      </c>
      <c r="S206" s="1049"/>
      <c r="T206" s="1050">
        <v>598</v>
      </c>
      <c r="U206" s="1048">
        <v>598</v>
      </c>
      <c r="V206" s="1699">
        <f t="shared" si="464"/>
        <v>1</v>
      </c>
      <c r="W206" s="1049"/>
      <c r="X206" s="1050">
        <v>99</v>
      </c>
      <c r="Y206" s="1048">
        <v>99</v>
      </c>
      <c r="Z206" s="1699">
        <f t="shared" si="465"/>
        <v>1</v>
      </c>
      <c r="AA206" s="1049"/>
      <c r="AB206" s="1050"/>
      <c r="AC206" s="1048"/>
      <c r="AD206" s="1699" t="str">
        <f t="shared" si="466"/>
        <v>-</v>
      </c>
      <c r="AE206" s="1049"/>
      <c r="AF206" s="1050"/>
      <c r="AG206" s="1048"/>
      <c r="AH206" s="1699" t="str">
        <f t="shared" si="467"/>
        <v>-</v>
      </c>
      <c r="AI206" s="1280">
        <f t="shared" si="482"/>
        <v>0</v>
      </c>
      <c r="AJ206" s="1281">
        <f t="shared" si="483"/>
        <v>0</v>
      </c>
      <c r="AK206" s="1281">
        <f t="shared" si="484"/>
        <v>0</v>
      </c>
      <c r="AL206" s="1668" t="str">
        <f t="shared" si="471"/>
        <v>-</v>
      </c>
      <c r="AM206" s="1049"/>
      <c r="AN206" s="1050"/>
      <c r="AO206" s="1048"/>
      <c r="AP206" s="1699" t="str">
        <f t="shared" si="472"/>
        <v>-</v>
      </c>
      <c r="AQ206" s="1049"/>
      <c r="AR206" s="1050"/>
      <c r="AS206" s="1048"/>
      <c r="AT206" s="1699" t="str">
        <f t="shared" si="473"/>
        <v>-</v>
      </c>
      <c r="AU206" s="1049"/>
      <c r="AV206" s="1050"/>
      <c r="AW206" s="1048"/>
      <c r="AX206" s="1699" t="str">
        <f t="shared" si="474"/>
        <v>-</v>
      </c>
      <c r="AY206" s="442"/>
    </row>
    <row r="207" spans="1:51" s="449" customFormat="1">
      <c r="A207" s="483">
        <f t="shared" si="475"/>
        <v>38</v>
      </c>
      <c r="B207" s="1781">
        <v>7</v>
      </c>
      <c r="C207" s="1062" t="s">
        <v>711</v>
      </c>
      <c r="D207" s="856" t="s">
        <v>1300</v>
      </c>
      <c r="E207" s="1061" t="s">
        <v>1260</v>
      </c>
      <c r="F207" s="859" t="s">
        <v>1299</v>
      </c>
      <c r="G207" s="1280">
        <f t="shared" si="476"/>
        <v>0</v>
      </c>
      <c r="H207" s="1281">
        <f t="shared" si="477"/>
        <v>363429</v>
      </c>
      <c r="I207" s="1281">
        <f t="shared" si="478"/>
        <v>363429</v>
      </c>
      <c r="J207" s="1668">
        <f t="shared" si="458"/>
        <v>1</v>
      </c>
      <c r="K207" s="1280">
        <f t="shared" si="479"/>
        <v>0</v>
      </c>
      <c r="L207" s="1281">
        <f t="shared" si="480"/>
        <v>74356</v>
      </c>
      <c r="M207" s="1281">
        <f t="shared" si="481"/>
        <v>74356</v>
      </c>
      <c r="N207" s="1668">
        <f t="shared" si="462"/>
        <v>1</v>
      </c>
      <c r="O207" s="1047"/>
      <c r="P207" s="1048"/>
      <c r="Q207" s="1048"/>
      <c r="R207" s="1699" t="str">
        <f t="shared" si="463"/>
        <v>-</v>
      </c>
      <c r="S207" s="1049"/>
      <c r="T207" s="1050"/>
      <c r="U207" s="1048"/>
      <c r="V207" s="1699" t="str">
        <f t="shared" si="464"/>
        <v>-</v>
      </c>
      <c r="W207" s="1049"/>
      <c r="X207" s="1050">
        <v>74356</v>
      </c>
      <c r="Y207" s="1048">
        <v>74356</v>
      </c>
      <c r="Z207" s="1699">
        <f t="shared" si="465"/>
        <v>1</v>
      </c>
      <c r="AA207" s="1049"/>
      <c r="AB207" s="1050"/>
      <c r="AC207" s="1048"/>
      <c r="AD207" s="1699" t="str">
        <f t="shared" si="466"/>
        <v>-</v>
      </c>
      <c r="AE207" s="1049"/>
      <c r="AF207" s="1050"/>
      <c r="AG207" s="1048"/>
      <c r="AH207" s="1699" t="str">
        <f t="shared" si="467"/>
        <v>-</v>
      </c>
      <c r="AI207" s="1280">
        <f t="shared" si="482"/>
        <v>0</v>
      </c>
      <c r="AJ207" s="1281">
        <f t="shared" si="483"/>
        <v>289073</v>
      </c>
      <c r="AK207" s="1281">
        <f t="shared" si="484"/>
        <v>289073</v>
      </c>
      <c r="AL207" s="1668">
        <f t="shared" si="471"/>
        <v>1</v>
      </c>
      <c r="AM207" s="1049"/>
      <c r="AN207" s="1050">
        <v>289073</v>
      </c>
      <c r="AO207" s="1048">
        <v>289073</v>
      </c>
      <c r="AP207" s="1699">
        <f t="shared" si="472"/>
        <v>1</v>
      </c>
      <c r="AQ207" s="1049"/>
      <c r="AR207" s="1050"/>
      <c r="AS207" s="1048"/>
      <c r="AT207" s="1699" t="str">
        <f t="shared" si="473"/>
        <v>-</v>
      </c>
      <c r="AU207" s="1049"/>
      <c r="AV207" s="1050"/>
      <c r="AW207" s="1048"/>
      <c r="AX207" s="1699" t="str">
        <f t="shared" si="474"/>
        <v>-</v>
      </c>
      <c r="AY207" s="442"/>
    </row>
    <row r="208" spans="1:51" s="449" customFormat="1">
      <c r="A208" s="483">
        <f t="shared" si="475"/>
        <v>39</v>
      </c>
      <c r="B208" s="1781">
        <v>7</v>
      </c>
      <c r="C208" s="1062" t="s">
        <v>1032</v>
      </c>
      <c r="D208" s="856" t="s">
        <v>1301</v>
      </c>
      <c r="E208" s="1061" t="s">
        <v>1277</v>
      </c>
      <c r="F208" s="859" t="s">
        <v>1302</v>
      </c>
      <c r="G208" s="1280">
        <f t="shared" si="476"/>
        <v>0</v>
      </c>
      <c r="H208" s="1281">
        <f t="shared" si="477"/>
        <v>27717</v>
      </c>
      <c r="I208" s="1281">
        <f t="shared" si="478"/>
        <v>27717</v>
      </c>
      <c r="J208" s="1668">
        <f t="shared" si="458"/>
        <v>1</v>
      </c>
      <c r="K208" s="1280">
        <f t="shared" si="479"/>
        <v>0</v>
      </c>
      <c r="L208" s="1281">
        <f t="shared" si="480"/>
        <v>468</v>
      </c>
      <c r="M208" s="1281">
        <f t="shared" si="481"/>
        <v>468</v>
      </c>
      <c r="N208" s="1668">
        <f t="shared" si="462"/>
        <v>1</v>
      </c>
      <c r="O208" s="1047"/>
      <c r="P208" s="1048"/>
      <c r="Q208" s="1048"/>
      <c r="R208" s="1699" t="str">
        <f t="shared" si="463"/>
        <v>-</v>
      </c>
      <c r="S208" s="1049"/>
      <c r="T208" s="1050"/>
      <c r="U208" s="1048"/>
      <c r="V208" s="1699" t="str">
        <f t="shared" si="464"/>
        <v>-</v>
      </c>
      <c r="W208" s="1049"/>
      <c r="X208" s="1050">
        <v>468</v>
      </c>
      <c r="Y208" s="1048">
        <v>468</v>
      </c>
      <c r="Z208" s="1699">
        <f t="shared" si="465"/>
        <v>1</v>
      </c>
      <c r="AA208" s="1049"/>
      <c r="AB208" s="1050"/>
      <c r="AC208" s="1048"/>
      <c r="AD208" s="1699" t="str">
        <f t="shared" si="466"/>
        <v>-</v>
      </c>
      <c r="AE208" s="1049"/>
      <c r="AF208" s="1050"/>
      <c r="AG208" s="1048"/>
      <c r="AH208" s="1699" t="str">
        <f t="shared" si="467"/>
        <v>-</v>
      </c>
      <c r="AI208" s="1280">
        <f t="shared" si="482"/>
        <v>0</v>
      </c>
      <c r="AJ208" s="1281">
        <f t="shared" si="483"/>
        <v>27249</v>
      </c>
      <c r="AK208" s="1281">
        <f t="shared" si="484"/>
        <v>27249</v>
      </c>
      <c r="AL208" s="1668">
        <f t="shared" si="471"/>
        <v>1</v>
      </c>
      <c r="AM208" s="1049"/>
      <c r="AN208" s="1050"/>
      <c r="AO208" s="1048"/>
      <c r="AP208" s="1699" t="str">
        <f t="shared" si="472"/>
        <v>-</v>
      </c>
      <c r="AQ208" s="1049"/>
      <c r="AR208" s="1050">
        <v>27249</v>
      </c>
      <c r="AS208" s="1048">
        <v>27249</v>
      </c>
      <c r="AT208" s="1699">
        <f t="shared" si="473"/>
        <v>1</v>
      </c>
      <c r="AU208" s="1049"/>
      <c r="AV208" s="1050"/>
      <c r="AW208" s="1048"/>
      <c r="AX208" s="1699" t="str">
        <f t="shared" si="474"/>
        <v>-</v>
      </c>
      <c r="AY208" s="442"/>
    </row>
    <row r="209" spans="1:51" s="449" customFormat="1">
      <c r="A209" s="483">
        <f t="shared" si="475"/>
        <v>40</v>
      </c>
      <c r="B209" s="1781">
        <v>7</v>
      </c>
      <c r="C209" s="1062" t="s">
        <v>706</v>
      </c>
      <c r="D209" s="856" t="s">
        <v>1192</v>
      </c>
      <c r="E209" s="1065" t="s">
        <v>1257</v>
      </c>
      <c r="F209" s="859" t="s">
        <v>1193</v>
      </c>
      <c r="G209" s="1280">
        <f t="shared" si="476"/>
        <v>0</v>
      </c>
      <c r="H209" s="1281">
        <f t="shared" si="477"/>
        <v>374964</v>
      </c>
      <c r="I209" s="1281">
        <f t="shared" si="478"/>
        <v>374964</v>
      </c>
      <c r="J209" s="1668">
        <f t="shared" si="458"/>
        <v>1</v>
      </c>
      <c r="K209" s="1280">
        <f t="shared" si="479"/>
        <v>0</v>
      </c>
      <c r="L209" s="1281">
        <f t="shared" si="480"/>
        <v>0</v>
      </c>
      <c r="M209" s="1281">
        <f t="shared" si="481"/>
        <v>0</v>
      </c>
      <c r="N209" s="1668" t="str">
        <f t="shared" si="462"/>
        <v>-</v>
      </c>
      <c r="O209" s="1047"/>
      <c r="P209" s="1048"/>
      <c r="Q209" s="1048"/>
      <c r="R209" s="1699" t="str">
        <f t="shared" si="463"/>
        <v>-</v>
      </c>
      <c r="S209" s="1049"/>
      <c r="T209" s="1050"/>
      <c r="U209" s="1048"/>
      <c r="V209" s="1699" t="str">
        <f t="shared" si="464"/>
        <v>-</v>
      </c>
      <c r="W209" s="1049"/>
      <c r="X209" s="1050"/>
      <c r="Y209" s="1048"/>
      <c r="Z209" s="1699" t="str">
        <f t="shared" si="465"/>
        <v>-</v>
      </c>
      <c r="AA209" s="1049"/>
      <c r="AB209" s="1050"/>
      <c r="AC209" s="1048"/>
      <c r="AD209" s="1699" t="str">
        <f t="shared" si="466"/>
        <v>-</v>
      </c>
      <c r="AE209" s="1049"/>
      <c r="AF209" s="1050"/>
      <c r="AG209" s="1048"/>
      <c r="AH209" s="1699" t="str">
        <f t="shared" si="467"/>
        <v>-</v>
      </c>
      <c r="AI209" s="1280">
        <f t="shared" si="482"/>
        <v>0</v>
      </c>
      <c r="AJ209" s="1281">
        <f t="shared" si="483"/>
        <v>374964</v>
      </c>
      <c r="AK209" s="1281">
        <f t="shared" si="484"/>
        <v>374964</v>
      </c>
      <c r="AL209" s="1668">
        <f t="shared" si="471"/>
        <v>1</v>
      </c>
      <c r="AM209" s="1049"/>
      <c r="AN209" s="1050">
        <v>374946</v>
      </c>
      <c r="AO209" s="1048">
        <v>374946</v>
      </c>
      <c r="AP209" s="1699">
        <f t="shared" si="472"/>
        <v>1</v>
      </c>
      <c r="AQ209" s="1049"/>
      <c r="AR209" s="1050"/>
      <c r="AS209" s="1048"/>
      <c r="AT209" s="1699" t="str">
        <f t="shared" si="473"/>
        <v>-</v>
      </c>
      <c r="AU209" s="1049"/>
      <c r="AV209" s="1050">
        <v>18</v>
      </c>
      <c r="AW209" s="1048">
        <v>18</v>
      </c>
      <c r="AX209" s="1699">
        <f t="shared" si="474"/>
        <v>1</v>
      </c>
      <c r="AY209" s="442"/>
    </row>
    <row r="210" spans="1:51" s="449" customFormat="1">
      <c r="A210" s="483">
        <f t="shared" si="475"/>
        <v>41</v>
      </c>
      <c r="B210" s="1781">
        <v>8</v>
      </c>
      <c r="C210" s="1062" t="s">
        <v>1017</v>
      </c>
      <c r="D210" s="856" t="s">
        <v>1018</v>
      </c>
      <c r="E210" s="1061" t="s">
        <v>1257</v>
      </c>
      <c r="F210" s="859" t="s">
        <v>1019</v>
      </c>
      <c r="G210" s="1280">
        <f t="shared" si="476"/>
        <v>10000</v>
      </c>
      <c r="H210" s="1281">
        <f t="shared" si="477"/>
        <v>0</v>
      </c>
      <c r="I210" s="1281">
        <f t="shared" si="478"/>
        <v>0</v>
      </c>
      <c r="J210" s="1668" t="str">
        <f t="shared" si="458"/>
        <v>-</v>
      </c>
      <c r="K210" s="1280">
        <f t="shared" si="479"/>
        <v>10000</v>
      </c>
      <c r="L210" s="1281">
        <f t="shared" si="480"/>
        <v>0</v>
      </c>
      <c r="M210" s="1281">
        <f t="shared" si="481"/>
        <v>0</v>
      </c>
      <c r="N210" s="1668" t="str">
        <f t="shared" si="462"/>
        <v>-</v>
      </c>
      <c r="O210" s="1047"/>
      <c r="P210" s="1048"/>
      <c r="Q210" s="1048"/>
      <c r="R210" s="1699" t="str">
        <f t="shared" si="463"/>
        <v>-</v>
      </c>
      <c r="S210" s="1049"/>
      <c r="T210" s="1050"/>
      <c r="U210" s="1048"/>
      <c r="V210" s="1699" t="str">
        <f t="shared" si="464"/>
        <v>-</v>
      </c>
      <c r="W210" s="1049"/>
      <c r="X210" s="1050"/>
      <c r="Y210" s="1048"/>
      <c r="Z210" s="1699" t="str">
        <f t="shared" si="465"/>
        <v>-</v>
      </c>
      <c r="AA210" s="1049"/>
      <c r="AB210" s="1050"/>
      <c r="AC210" s="1048"/>
      <c r="AD210" s="1699" t="str">
        <f t="shared" si="466"/>
        <v>-</v>
      </c>
      <c r="AE210" s="1049">
        <v>10000</v>
      </c>
      <c r="AF210" s="1050">
        <v>0</v>
      </c>
      <c r="AG210" s="1048"/>
      <c r="AH210" s="1699" t="str">
        <f t="shared" si="467"/>
        <v>-</v>
      </c>
      <c r="AI210" s="1280">
        <f t="shared" si="482"/>
        <v>0</v>
      </c>
      <c r="AJ210" s="1281">
        <f t="shared" si="483"/>
        <v>0</v>
      </c>
      <c r="AK210" s="1281">
        <f t="shared" si="484"/>
        <v>0</v>
      </c>
      <c r="AL210" s="1668" t="str">
        <f t="shared" si="471"/>
        <v>-</v>
      </c>
      <c r="AM210" s="1049"/>
      <c r="AN210" s="1050"/>
      <c r="AO210" s="1048"/>
      <c r="AP210" s="1699" t="str">
        <f t="shared" si="472"/>
        <v>-</v>
      </c>
      <c r="AQ210" s="1049"/>
      <c r="AR210" s="1050"/>
      <c r="AS210" s="1048"/>
      <c r="AT210" s="1699" t="str">
        <f t="shared" si="473"/>
        <v>-</v>
      </c>
      <c r="AU210" s="1049"/>
      <c r="AV210" s="1050"/>
      <c r="AW210" s="1048"/>
      <c r="AX210" s="1699" t="str">
        <f t="shared" si="474"/>
        <v>-</v>
      </c>
      <c r="AY210" s="442"/>
    </row>
    <row r="211" spans="1:51" s="449" customFormat="1">
      <c r="A211" s="483">
        <f t="shared" si="475"/>
        <v>42</v>
      </c>
      <c r="B211" s="1781">
        <v>8</v>
      </c>
      <c r="C211" s="1062" t="s">
        <v>1020</v>
      </c>
      <c r="D211" s="856" t="s">
        <v>1021</v>
      </c>
      <c r="E211" s="1061" t="s">
        <v>1257</v>
      </c>
      <c r="F211" s="859" t="s">
        <v>1021</v>
      </c>
      <c r="G211" s="1280">
        <f t="shared" si="476"/>
        <v>8703</v>
      </c>
      <c r="H211" s="1281">
        <f t="shared" si="477"/>
        <v>0</v>
      </c>
      <c r="I211" s="1281">
        <f t="shared" si="478"/>
        <v>0</v>
      </c>
      <c r="J211" s="1668" t="str">
        <f t="shared" si="458"/>
        <v>-</v>
      </c>
      <c r="K211" s="1280">
        <f t="shared" si="479"/>
        <v>8703</v>
      </c>
      <c r="L211" s="1281">
        <f t="shared" si="480"/>
        <v>0</v>
      </c>
      <c r="M211" s="1281">
        <f t="shared" si="481"/>
        <v>0</v>
      </c>
      <c r="N211" s="1668" t="str">
        <f t="shared" si="462"/>
        <v>-</v>
      </c>
      <c r="O211" s="1047"/>
      <c r="P211" s="1048"/>
      <c r="Q211" s="1048"/>
      <c r="R211" s="1699" t="str">
        <f t="shared" si="463"/>
        <v>-</v>
      </c>
      <c r="S211" s="1049"/>
      <c r="T211" s="1050"/>
      <c r="U211" s="1048"/>
      <c r="V211" s="1699" t="str">
        <f t="shared" si="464"/>
        <v>-</v>
      </c>
      <c r="W211" s="1049"/>
      <c r="X211" s="1050"/>
      <c r="Y211" s="1048"/>
      <c r="Z211" s="1699" t="str">
        <f t="shared" si="465"/>
        <v>-</v>
      </c>
      <c r="AA211" s="1049"/>
      <c r="AB211" s="1050"/>
      <c r="AC211" s="1048"/>
      <c r="AD211" s="1699" t="str">
        <f t="shared" si="466"/>
        <v>-</v>
      </c>
      <c r="AE211" s="1049">
        <v>8703</v>
      </c>
      <c r="AF211" s="1050">
        <v>0</v>
      </c>
      <c r="AG211" s="1048"/>
      <c r="AH211" s="1699" t="str">
        <f t="shared" si="467"/>
        <v>-</v>
      </c>
      <c r="AI211" s="1280">
        <f t="shared" si="482"/>
        <v>0</v>
      </c>
      <c r="AJ211" s="1281">
        <f t="shared" si="483"/>
        <v>0</v>
      </c>
      <c r="AK211" s="1281">
        <f t="shared" si="484"/>
        <v>0</v>
      </c>
      <c r="AL211" s="1668" t="str">
        <f t="shared" si="471"/>
        <v>-</v>
      </c>
      <c r="AM211" s="1049"/>
      <c r="AN211" s="1050"/>
      <c r="AO211" s="1048"/>
      <c r="AP211" s="1699" t="str">
        <f t="shared" si="472"/>
        <v>-</v>
      </c>
      <c r="AQ211" s="1049"/>
      <c r="AR211" s="1050"/>
      <c r="AS211" s="1048"/>
      <c r="AT211" s="1699" t="str">
        <f t="shared" si="473"/>
        <v>-</v>
      </c>
      <c r="AU211" s="1049"/>
      <c r="AV211" s="1050"/>
      <c r="AW211" s="1048"/>
      <c r="AX211" s="1699" t="str">
        <f t="shared" si="474"/>
        <v>-</v>
      </c>
      <c r="AY211" s="442"/>
    </row>
    <row r="212" spans="1:51" s="449" customFormat="1">
      <c r="A212" s="483">
        <f t="shared" si="475"/>
        <v>43</v>
      </c>
      <c r="B212" s="1781">
        <v>8</v>
      </c>
      <c r="C212" s="1062" t="s">
        <v>709</v>
      </c>
      <c r="D212" s="856" t="s">
        <v>710</v>
      </c>
      <c r="E212" s="1061" t="s">
        <v>1263</v>
      </c>
      <c r="F212" s="859" t="s">
        <v>710</v>
      </c>
      <c r="G212" s="1280">
        <f t="shared" si="476"/>
        <v>8900</v>
      </c>
      <c r="H212" s="1281">
        <f t="shared" si="477"/>
        <v>0</v>
      </c>
      <c r="I212" s="1281">
        <f t="shared" si="478"/>
        <v>0</v>
      </c>
      <c r="J212" s="1668" t="str">
        <f t="shared" si="458"/>
        <v>-</v>
      </c>
      <c r="K212" s="1280">
        <f t="shared" si="479"/>
        <v>8900</v>
      </c>
      <c r="L212" s="1281">
        <f t="shared" si="480"/>
        <v>0</v>
      </c>
      <c r="M212" s="1281">
        <f t="shared" si="481"/>
        <v>0</v>
      </c>
      <c r="N212" s="1668" t="str">
        <f t="shared" si="462"/>
        <v>-</v>
      </c>
      <c r="O212" s="1047"/>
      <c r="P212" s="1048"/>
      <c r="Q212" s="1048"/>
      <c r="R212" s="1699" t="str">
        <f t="shared" si="463"/>
        <v>-</v>
      </c>
      <c r="S212" s="1049"/>
      <c r="T212" s="1050"/>
      <c r="U212" s="1048"/>
      <c r="V212" s="1699" t="str">
        <f t="shared" si="464"/>
        <v>-</v>
      </c>
      <c r="W212" s="1049">
        <v>8900</v>
      </c>
      <c r="X212" s="1050">
        <v>0</v>
      </c>
      <c r="Y212" s="1048"/>
      <c r="Z212" s="1699" t="str">
        <f t="shared" si="465"/>
        <v>-</v>
      </c>
      <c r="AA212" s="1049"/>
      <c r="AB212" s="1050"/>
      <c r="AC212" s="1048"/>
      <c r="AD212" s="1699" t="str">
        <f t="shared" si="466"/>
        <v>-</v>
      </c>
      <c r="AE212" s="1049"/>
      <c r="AF212" s="1050"/>
      <c r="AG212" s="1048"/>
      <c r="AH212" s="1699" t="str">
        <f t="shared" si="467"/>
        <v>-</v>
      </c>
      <c r="AI212" s="1280">
        <f t="shared" si="482"/>
        <v>0</v>
      </c>
      <c r="AJ212" s="1281">
        <f t="shared" si="483"/>
        <v>0</v>
      </c>
      <c r="AK212" s="1281">
        <f t="shared" si="484"/>
        <v>0</v>
      </c>
      <c r="AL212" s="1668" t="str">
        <f t="shared" si="471"/>
        <v>-</v>
      </c>
      <c r="AM212" s="1049"/>
      <c r="AN212" s="1050"/>
      <c r="AO212" s="1048"/>
      <c r="AP212" s="1699" t="str">
        <f t="shared" si="472"/>
        <v>-</v>
      </c>
      <c r="AQ212" s="1049"/>
      <c r="AR212" s="1050"/>
      <c r="AS212" s="1048"/>
      <c r="AT212" s="1699" t="str">
        <f t="shared" si="473"/>
        <v>-</v>
      </c>
      <c r="AU212" s="1049"/>
      <c r="AV212" s="1050"/>
      <c r="AW212" s="1048"/>
      <c r="AX212" s="1699" t="str">
        <f t="shared" si="474"/>
        <v>-</v>
      </c>
      <c r="AY212" s="442"/>
    </row>
    <row r="213" spans="1:51" s="449" customFormat="1">
      <c r="A213" s="483">
        <f t="shared" si="475"/>
        <v>44</v>
      </c>
      <c r="B213" s="1781">
        <v>8</v>
      </c>
      <c r="C213" s="1062" t="s">
        <v>1024</v>
      </c>
      <c r="D213" s="856" t="s">
        <v>1022</v>
      </c>
      <c r="E213" s="1061" t="s">
        <v>1265</v>
      </c>
      <c r="F213" s="859" t="s">
        <v>1022</v>
      </c>
      <c r="G213" s="1280">
        <f t="shared" si="476"/>
        <v>0</v>
      </c>
      <c r="H213" s="1281">
        <f t="shared" si="477"/>
        <v>0</v>
      </c>
      <c r="I213" s="1281">
        <f t="shared" si="478"/>
        <v>0</v>
      </c>
      <c r="J213" s="1668" t="str">
        <f t="shared" si="458"/>
        <v>-</v>
      </c>
      <c r="K213" s="1280">
        <f t="shared" si="479"/>
        <v>0</v>
      </c>
      <c r="L213" s="1281">
        <f t="shared" si="480"/>
        <v>0</v>
      </c>
      <c r="M213" s="1281">
        <f t="shared" si="481"/>
        <v>0</v>
      </c>
      <c r="N213" s="1668" t="str">
        <f t="shared" si="462"/>
        <v>-</v>
      </c>
      <c r="O213" s="1047"/>
      <c r="P213" s="1048"/>
      <c r="Q213" s="1048"/>
      <c r="R213" s="1699" t="str">
        <f t="shared" si="463"/>
        <v>-</v>
      </c>
      <c r="S213" s="1049"/>
      <c r="T213" s="1050"/>
      <c r="U213" s="1048"/>
      <c r="V213" s="1699" t="str">
        <f t="shared" si="464"/>
        <v>-</v>
      </c>
      <c r="W213" s="1049"/>
      <c r="X213" s="1050"/>
      <c r="Y213" s="1048"/>
      <c r="Z213" s="1699" t="str">
        <f t="shared" si="465"/>
        <v>-</v>
      </c>
      <c r="AA213" s="1049"/>
      <c r="AB213" s="1050"/>
      <c r="AC213" s="1048"/>
      <c r="AD213" s="1699" t="str">
        <f t="shared" si="466"/>
        <v>-</v>
      </c>
      <c r="AE213" s="1049"/>
      <c r="AF213" s="1050"/>
      <c r="AG213" s="1048"/>
      <c r="AH213" s="1699" t="str">
        <f t="shared" si="467"/>
        <v>-</v>
      </c>
      <c r="AI213" s="1280">
        <f t="shared" si="482"/>
        <v>0</v>
      </c>
      <c r="AJ213" s="1281">
        <f t="shared" si="483"/>
        <v>0</v>
      </c>
      <c r="AK213" s="1281">
        <f t="shared" si="484"/>
        <v>0</v>
      </c>
      <c r="AL213" s="1668" t="str">
        <f t="shared" si="471"/>
        <v>-</v>
      </c>
      <c r="AM213" s="1049"/>
      <c r="AN213" s="1050"/>
      <c r="AO213" s="1048"/>
      <c r="AP213" s="1699" t="str">
        <f t="shared" si="472"/>
        <v>-</v>
      </c>
      <c r="AQ213" s="1049"/>
      <c r="AR213" s="1050"/>
      <c r="AS213" s="1048"/>
      <c r="AT213" s="1699" t="str">
        <f t="shared" si="473"/>
        <v>-</v>
      </c>
      <c r="AU213" s="1049"/>
      <c r="AV213" s="1050"/>
      <c r="AW213" s="1048"/>
      <c r="AX213" s="1699" t="str">
        <f t="shared" si="474"/>
        <v>-</v>
      </c>
      <c r="AY213" s="442"/>
    </row>
    <row r="214" spans="1:51" s="449" customFormat="1">
      <c r="A214" s="483">
        <f t="shared" si="475"/>
        <v>45</v>
      </c>
      <c r="B214" s="1781">
        <v>8</v>
      </c>
      <c r="C214" s="1062" t="s">
        <v>1025</v>
      </c>
      <c r="D214" s="856" t="s">
        <v>1023</v>
      </c>
      <c r="E214" s="1061" t="s">
        <v>1257</v>
      </c>
      <c r="F214" s="859" t="s">
        <v>1026</v>
      </c>
      <c r="G214" s="1280">
        <f t="shared" si="476"/>
        <v>0</v>
      </c>
      <c r="H214" s="1281">
        <f t="shared" si="477"/>
        <v>0</v>
      </c>
      <c r="I214" s="1281">
        <f t="shared" si="478"/>
        <v>0</v>
      </c>
      <c r="J214" s="1668" t="str">
        <f t="shared" si="458"/>
        <v>-</v>
      </c>
      <c r="K214" s="1280">
        <f t="shared" si="479"/>
        <v>0</v>
      </c>
      <c r="L214" s="1281">
        <f t="shared" si="480"/>
        <v>0</v>
      </c>
      <c r="M214" s="1281">
        <f t="shared" si="481"/>
        <v>0</v>
      </c>
      <c r="N214" s="1668" t="str">
        <f t="shared" si="462"/>
        <v>-</v>
      </c>
      <c r="O214" s="1047"/>
      <c r="P214" s="1048"/>
      <c r="Q214" s="1048"/>
      <c r="R214" s="1699" t="str">
        <f t="shared" si="463"/>
        <v>-</v>
      </c>
      <c r="S214" s="1049"/>
      <c r="T214" s="1050"/>
      <c r="U214" s="1048"/>
      <c r="V214" s="1699" t="str">
        <f t="shared" si="464"/>
        <v>-</v>
      </c>
      <c r="W214" s="1049"/>
      <c r="X214" s="1050"/>
      <c r="Y214" s="1048"/>
      <c r="Z214" s="1699" t="str">
        <f t="shared" si="465"/>
        <v>-</v>
      </c>
      <c r="AA214" s="1049"/>
      <c r="AB214" s="1050"/>
      <c r="AC214" s="1048"/>
      <c r="AD214" s="1699" t="str">
        <f t="shared" si="466"/>
        <v>-</v>
      </c>
      <c r="AE214" s="1049"/>
      <c r="AF214" s="1050"/>
      <c r="AG214" s="1048"/>
      <c r="AH214" s="1699" t="str">
        <f t="shared" si="467"/>
        <v>-</v>
      </c>
      <c r="AI214" s="1280">
        <f t="shared" si="482"/>
        <v>0</v>
      </c>
      <c r="AJ214" s="1281">
        <f t="shared" si="483"/>
        <v>0</v>
      </c>
      <c r="AK214" s="1281">
        <f t="shared" si="484"/>
        <v>0</v>
      </c>
      <c r="AL214" s="1668" t="str">
        <f t="shared" si="471"/>
        <v>-</v>
      </c>
      <c r="AM214" s="1049"/>
      <c r="AN214" s="1050"/>
      <c r="AO214" s="1048"/>
      <c r="AP214" s="1699" t="str">
        <f t="shared" si="472"/>
        <v>-</v>
      </c>
      <c r="AQ214" s="1049"/>
      <c r="AR214" s="1050"/>
      <c r="AS214" s="1048"/>
      <c r="AT214" s="1699" t="str">
        <f t="shared" si="473"/>
        <v>-</v>
      </c>
      <c r="AU214" s="1049"/>
      <c r="AV214" s="1050"/>
      <c r="AW214" s="1048"/>
      <c r="AX214" s="1699" t="str">
        <f t="shared" si="474"/>
        <v>-</v>
      </c>
      <c r="AY214" s="442"/>
    </row>
    <row r="215" spans="1:51" s="449" customFormat="1">
      <c r="A215" s="483">
        <f t="shared" si="475"/>
        <v>46</v>
      </c>
      <c r="B215" s="249">
        <v>8</v>
      </c>
      <c r="C215" s="1063" t="s">
        <v>1027</v>
      </c>
      <c r="D215" s="862" t="s">
        <v>1028</v>
      </c>
      <c r="E215" s="1064" t="s">
        <v>1257</v>
      </c>
      <c r="F215" s="863" t="s">
        <v>1028</v>
      </c>
      <c r="G215" s="1280">
        <f t="shared" si="476"/>
        <v>0</v>
      </c>
      <c r="H215" s="1281">
        <f t="shared" si="477"/>
        <v>0</v>
      </c>
      <c r="I215" s="1281">
        <f t="shared" si="478"/>
        <v>0</v>
      </c>
      <c r="J215" s="1668" t="str">
        <f t="shared" si="458"/>
        <v>-</v>
      </c>
      <c r="K215" s="1280">
        <f t="shared" si="479"/>
        <v>0</v>
      </c>
      <c r="L215" s="1281">
        <f t="shared" si="480"/>
        <v>0</v>
      </c>
      <c r="M215" s="1281">
        <f t="shared" si="481"/>
        <v>0</v>
      </c>
      <c r="N215" s="1668" t="str">
        <f t="shared" si="462"/>
        <v>-</v>
      </c>
      <c r="O215" s="1047"/>
      <c r="P215" s="1048"/>
      <c r="Q215" s="1048"/>
      <c r="R215" s="1699" t="str">
        <f t="shared" si="463"/>
        <v>-</v>
      </c>
      <c r="S215" s="1049"/>
      <c r="T215" s="1050"/>
      <c r="U215" s="1048"/>
      <c r="V215" s="1699" t="str">
        <f t="shared" si="464"/>
        <v>-</v>
      </c>
      <c r="W215" s="1049"/>
      <c r="X215" s="1050"/>
      <c r="Y215" s="1048"/>
      <c r="Z215" s="1699" t="str">
        <f t="shared" si="465"/>
        <v>-</v>
      </c>
      <c r="AA215" s="1049"/>
      <c r="AB215" s="1050"/>
      <c r="AC215" s="1048"/>
      <c r="AD215" s="1699" t="str">
        <f t="shared" si="466"/>
        <v>-</v>
      </c>
      <c r="AE215" s="1049"/>
      <c r="AF215" s="1050"/>
      <c r="AG215" s="1048"/>
      <c r="AH215" s="1699" t="str">
        <f t="shared" si="467"/>
        <v>-</v>
      </c>
      <c r="AI215" s="1280">
        <f t="shared" si="482"/>
        <v>0</v>
      </c>
      <c r="AJ215" s="1281">
        <f t="shared" si="483"/>
        <v>0</v>
      </c>
      <c r="AK215" s="1281">
        <f t="shared" si="484"/>
        <v>0</v>
      </c>
      <c r="AL215" s="1668" t="str">
        <f t="shared" si="471"/>
        <v>-</v>
      </c>
      <c r="AM215" s="1049"/>
      <c r="AN215" s="1050"/>
      <c r="AO215" s="1048"/>
      <c r="AP215" s="1699" t="str">
        <f t="shared" si="472"/>
        <v>-</v>
      </c>
      <c r="AQ215" s="1049"/>
      <c r="AR215" s="1050"/>
      <c r="AS215" s="1048"/>
      <c r="AT215" s="1699" t="str">
        <f t="shared" si="473"/>
        <v>-</v>
      </c>
      <c r="AU215" s="1049"/>
      <c r="AV215" s="1050"/>
      <c r="AW215" s="1048"/>
      <c r="AX215" s="1699" t="str">
        <f t="shared" si="474"/>
        <v>-</v>
      </c>
      <c r="AY215" s="442"/>
    </row>
    <row r="216" spans="1:51" s="449" customFormat="1">
      <c r="A216" s="483">
        <f t="shared" si="475"/>
        <v>47</v>
      </c>
      <c r="B216" s="249">
        <v>8</v>
      </c>
      <c r="C216" s="1063" t="s">
        <v>737</v>
      </c>
      <c r="D216" s="862" t="s">
        <v>735</v>
      </c>
      <c r="E216" s="1064" t="s">
        <v>1266</v>
      </c>
      <c r="F216" s="863" t="s">
        <v>666</v>
      </c>
      <c r="G216" s="1280">
        <f t="shared" si="476"/>
        <v>15531</v>
      </c>
      <c r="H216" s="1281">
        <f t="shared" si="477"/>
        <v>0</v>
      </c>
      <c r="I216" s="1281">
        <f t="shared" si="478"/>
        <v>0</v>
      </c>
      <c r="J216" s="1668" t="str">
        <f t="shared" si="458"/>
        <v>-</v>
      </c>
      <c r="K216" s="1280">
        <f t="shared" si="479"/>
        <v>15531</v>
      </c>
      <c r="L216" s="1281">
        <f t="shared" si="480"/>
        <v>0</v>
      </c>
      <c r="M216" s="1281">
        <f t="shared" si="481"/>
        <v>0</v>
      </c>
      <c r="N216" s="1668" t="str">
        <f t="shared" si="462"/>
        <v>-</v>
      </c>
      <c r="O216" s="1047"/>
      <c r="P216" s="1048"/>
      <c r="Q216" s="1048"/>
      <c r="R216" s="1699" t="str">
        <f t="shared" si="463"/>
        <v>-</v>
      </c>
      <c r="S216" s="1049"/>
      <c r="T216" s="1050"/>
      <c r="U216" s="1048"/>
      <c r="V216" s="1699" t="str">
        <f t="shared" si="464"/>
        <v>-</v>
      </c>
      <c r="W216" s="1049">
        <v>531</v>
      </c>
      <c r="X216" s="1050">
        <v>0</v>
      </c>
      <c r="Y216" s="1048"/>
      <c r="Z216" s="1699" t="str">
        <f t="shared" si="465"/>
        <v>-</v>
      </c>
      <c r="AA216" s="1049"/>
      <c r="AB216" s="1050"/>
      <c r="AC216" s="1048"/>
      <c r="AD216" s="1699" t="str">
        <f t="shared" si="466"/>
        <v>-</v>
      </c>
      <c r="AE216" s="1049">
        <v>15000</v>
      </c>
      <c r="AF216" s="1050">
        <v>0</v>
      </c>
      <c r="AG216" s="1048"/>
      <c r="AH216" s="1699" t="str">
        <f t="shared" si="467"/>
        <v>-</v>
      </c>
      <c r="AI216" s="1280">
        <f t="shared" si="482"/>
        <v>0</v>
      </c>
      <c r="AJ216" s="1281">
        <f t="shared" si="483"/>
        <v>0</v>
      </c>
      <c r="AK216" s="1281">
        <f t="shared" si="484"/>
        <v>0</v>
      </c>
      <c r="AL216" s="1668" t="str">
        <f t="shared" si="471"/>
        <v>-</v>
      </c>
      <c r="AM216" s="1049"/>
      <c r="AN216" s="1050"/>
      <c r="AO216" s="1048"/>
      <c r="AP216" s="1699" t="str">
        <f t="shared" si="472"/>
        <v>-</v>
      </c>
      <c r="AQ216" s="1049"/>
      <c r="AR216" s="1050"/>
      <c r="AS216" s="1048"/>
      <c r="AT216" s="1699" t="str">
        <f t="shared" si="473"/>
        <v>-</v>
      </c>
      <c r="AU216" s="1049"/>
      <c r="AV216" s="1050"/>
      <c r="AW216" s="1048"/>
      <c r="AX216" s="1699" t="str">
        <f t="shared" si="474"/>
        <v>-</v>
      </c>
      <c r="AY216" s="442"/>
    </row>
    <row r="217" spans="1:51" s="449" customFormat="1">
      <c r="A217" s="483">
        <f t="shared" si="475"/>
        <v>48</v>
      </c>
      <c r="B217" s="249">
        <v>8</v>
      </c>
      <c r="C217" s="1063" t="s">
        <v>738</v>
      </c>
      <c r="D217" s="862" t="s">
        <v>736</v>
      </c>
      <c r="E217" s="1064" t="s">
        <v>1257</v>
      </c>
      <c r="F217" s="863" t="s">
        <v>662</v>
      </c>
      <c r="G217" s="1280">
        <f t="shared" si="476"/>
        <v>16000</v>
      </c>
      <c r="H217" s="1281">
        <f t="shared" si="477"/>
        <v>19522</v>
      </c>
      <c r="I217" s="1281">
        <f t="shared" si="478"/>
        <v>19522</v>
      </c>
      <c r="J217" s="1668">
        <f t="shared" si="458"/>
        <v>1</v>
      </c>
      <c r="K217" s="1280">
        <f t="shared" si="479"/>
        <v>16000</v>
      </c>
      <c r="L217" s="1281">
        <f t="shared" si="480"/>
        <v>19522</v>
      </c>
      <c r="M217" s="1281">
        <f t="shared" si="481"/>
        <v>19522</v>
      </c>
      <c r="N217" s="1668">
        <f t="shared" si="462"/>
        <v>1</v>
      </c>
      <c r="O217" s="1047"/>
      <c r="P217" s="1048"/>
      <c r="Q217" s="1048"/>
      <c r="R217" s="1699" t="str">
        <f t="shared" si="463"/>
        <v>-</v>
      </c>
      <c r="S217" s="1049"/>
      <c r="T217" s="1050"/>
      <c r="U217" s="1048"/>
      <c r="V217" s="1699" t="str">
        <f t="shared" si="464"/>
        <v>-</v>
      </c>
      <c r="W217" s="1049"/>
      <c r="X217" s="1050"/>
      <c r="Y217" s="1048"/>
      <c r="Z217" s="1699" t="str">
        <f t="shared" si="465"/>
        <v>-</v>
      </c>
      <c r="AA217" s="1049"/>
      <c r="AB217" s="1050"/>
      <c r="AC217" s="1048"/>
      <c r="AD217" s="1699" t="str">
        <f t="shared" si="466"/>
        <v>-</v>
      </c>
      <c r="AE217" s="1049">
        <v>16000</v>
      </c>
      <c r="AF217" s="1050">
        <v>19522</v>
      </c>
      <c r="AG217" s="1048">
        <v>19522</v>
      </c>
      <c r="AH217" s="1699">
        <f t="shared" si="467"/>
        <v>1</v>
      </c>
      <c r="AI217" s="1280">
        <f t="shared" si="482"/>
        <v>0</v>
      </c>
      <c r="AJ217" s="1281">
        <f t="shared" si="483"/>
        <v>0</v>
      </c>
      <c r="AK217" s="1281">
        <f t="shared" si="484"/>
        <v>0</v>
      </c>
      <c r="AL217" s="1668" t="str">
        <f t="shared" si="471"/>
        <v>-</v>
      </c>
      <c r="AM217" s="1049"/>
      <c r="AN217" s="1050"/>
      <c r="AO217" s="1048"/>
      <c r="AP217" s="1699" t="str">
        <f t="shared" si="472"/>
        <v>-</v>
      </c>
      <c r="AQ217" s="1049"/>
      <c r="AR217" s="1050"/>
      <c r="AS217" s="1048"/>
      <c r="AT217" s="1699" t="str">
        <f t="shared" si="473"/>
        <v>-</v>
      </c>
      <c r="AU217" s="1049"/>
      <c r="AV217" s="1050"/>
      <c r="AW217" s="1048"/>
      <c r="AX217" s="1699" t="str">
        <f t="shared" si="474"/>
        <v>-</v>
      </c>
      <c r="AY217" s="442"/>
    </row>
    <row r="218" spans="1:51" s="449" customFormat="1">
      <c r="A218" s="483">
        <f t="shared" si="475"/>
        <v>49</v>
      </c>
      <c r="B218" s="249">
        <v>8</v>
      </c>
      <c r="C218" s="1063" t="s">
        <v>1029</v>
      </c>
      <c r="D218" s="862" t="s">
        <v>1030</v>
      </c>
      <c r="E218" s="1064" t="s">
        <v>1257</v>
      </c>
      <c r="F218" s="863" t="s">
        <v>1030</v>
      </c>
      <c r="G218" s="1280">
        <f t="shared" si="476"/>
        <v>0</v>
      </c>
      <c r="H218" s="1281">
        <f t="shared" si="477"/>
        <v>0</v>
      </c>
      <c r="I218" s="1281">
        <f t="shared" si="478"/>
        <v>0</v>
      </c>
      <c r="J218" s="1668" t="str">
        <f t="shared" si="458"/>
        <v>-</v>
      </c>
      <c r="K218" s="1280">
        <f t="shared" si="479"/>
        <v>0</v>
      </c>
      <c r="L218" s="1281">
        <f t="shared" si="480"/>
        <v>0</v>
      </c>
      <c r="M218" s="1281">
        <f t="shared" si="481"/>
        <v>0</v>
      </c>
      <c r="N218" s="1668" t="str">
        <f t="shared" si="462"/>
        <v>-</v>
      </c>
      <c r="O218" s="1047"/>
      <c r="P218" s="1048"/>
      <c r="Q218" s="1048"/>
      <c r="R218" s="1699" t="str">
        <f t="shared" si="463"/>
        <v>-</v>
      </c>
      <c r="S218" s="1049"/>
      <c r="T218" s="1050"/>
      <c r="U218" s="1048"/>
      <c r="V218" s="1699" t="str">
        <f t="shared" si="464"/>
        <v>-</v>
      </c>
      <c r="W218" s="1049"/>
      <c r="X218" s="1050"/>
      <c r="Y218" s="1048"/>
      <c r="Z218" s="1699" t="str">
        <f t="shared" si="465"/>
        <v>-</v>
      </c>
      <c r="AA218" s="1049"/>
      <c r="AB218" s="1050"/>
      <c r="AC218" s="1048"/>
      <c r="AD218" s="1699" t="str">
        <f t="shared" si="466"/>
        <v>-</v>
      </c>
      <c r="AE218" s="1049"/>
      <c r="AF218" s="1050"/>
      <c r="AG218" s="1048"/>
      <c r="AH218" s="1699" t="str">
        <f t="shared" si="467"/>
        <v>-</v>
      </c>
      <c r="AI218" s="1280">
        <f t="shared" si="482"/>
        <v>0</v>
      </c>
      <c r="AJ218" s="1281">
        <f t="shared" si="483"/>
        <v>0</v>
      </c>
      <c r="AK218" s="1281">
        <f t="shared" si="484"/>
        <v>0</v>
      </c>
      <c r="AL218" s="1668" t="str">
        <f t="shared" si="471"/>
        <v>-</v>
      </c>
      <c r="AM218" s="1049"/>
      <c r="AN218" s="1050"/>
      <c r="AO218" s="1048"/>
      <c r="AP218" s="1699" t="str">
        <f t="shared" si="472"/>
        <v>-</v>
      </c>
      <c r="AQ218" s="1049"/>
      <c r="AR218" s="1050"/>
      <c r="AS218" s="1048"/>
      <c r="AT218" s="1699" t="str">
        <f t="shared" si="473"/>
        <v>-</v>
      </c>
      <c r="AU218" s="1049"/>
      <c r="AV218" s="1050"/>
      <c r="AW218" s="1048"/>
      <c r="AX218" s="1699" t="str">
        <f t="shared" si="474"/>
        <v>-</v>
      </c>
      <c r="AY218" s="442"/>
    </row>
    <row r="219" spans="1:51" s="449" customFormat="1">
      <c r="A219" s="483">
        <f t="shared" si="475"/>
        <v>50</v>
      </c>
      <c r="B219" s="249">
        <v>6</v>
      </c>
      <c r="C219" s="1063" t="s">
        <v>688</v>
      </c>
      <c r="D219" s="862" t="s">
        <v>687</v>
      </c>
      <c r="E219" s="1064" t="s">
        <v>1257</v>
      </c>
      <c r="F219" s="863" t="s">
        <v>1040</v>
      </c>
      <c r="G219" s="1280">
        <f t="shared" si="476"/>
        <v>2400</v>
      </c>
      <c r="H219" s="1281">
        <f t="shared" si="477"/>
        <v>0</v>
      </c>
      <c r="I219" s="1281">
        <f t="shared" si="478"/>
        <v>0</v>
      </c>
      <c r="J219" s="1668" t="str">
        <f t="shared" si="458"/>
        <v>-</v>
      </c>
      <c r="K219" s="1280">
        <f t="shared" si="479"/>
        <v>2400</v>
      </c>
      <c r="L219" s="1281">
        <f t="shared" si="480"/>
        <v>0</v>
      </c>
      <c r="M219" s="1281">
        <f t="shared" si="481"/>
        <v>0</v>
      </c>
      <c r="N219" s="1668" t="str">
        <f t="shared" si="462"/>
        <v>-</v>
      </c>
      <c r="O219" s="1047"/>
      <c r="P219" s="1048"/>
      <c r="Q219" s="1048"/>
      <c r="R219" s="1699" t="str">
        <f t="shared" si="463"/>
        <v>-</v>
      </c>
      <c r="S219" s="1049"/>
      <c r="T219" s="1050"/>
      <c r="U219" s="1048"/>
      <c r="V219" s="1699" t="str">
        <f t="shared" si="464"/>
        <v>-</v>
      </c>
      <c r="W219" s="1049"/>
      <c r="X219" s="1050"/>
      <c r="Y219" s="1048"/>
      <c r="Z219" s="1699" t="str">
        <f t="shared" si="465"/>
        <v>-</v>
      </c>
      <c r="AA219" s="1049">
        <v>2400</v>
      </c>
      <c r="AB219" s="1050">
        <v>0</v>
      </c>
      <c r="AC219" s="1048"/>
      <c r="AD219" s="1699" t="str">
        <f t="shared" si="466"/>
        <v>-</v>
      </c>
      <c r="AE219" s="1049"/>
      <c r="AF219" s="1050"/>
      <c r="AG219" s="1048"/>
      <c r="AH219" s="1699" t="str">
        <f t="shared" si="467"/>
        <v>-</v>
      </c>
      <c r="AI219" s="1280">
        <f t="shared" si="482"/>
        <v>0</v>
      </c>
      <c r="AJ219" s="1281">
        <f t="shared" si="483"/>
        <v>0</v>
      </c>
      <c r="AK219" s="1281">
        <f t="shared" si="484"/>
        <v>0</v>
      </c>
      <c r="AL219" s="1668" t="str">
        <f t="shared" si="471"/>
        <v>-</v>
      </c>
      <c r="AM219" s="1049"/>
      <c r="AN219" s="1050"/>
      <c r="AO219" s="1048"/>
      <c r="AP219" s="1699" t="str">
        <f t="shared" si="472"/>
        <v>-</v>
      </c>
      <c r="AQ219" s="1049"/>
      <c r="AR219" s="1050"/>
      <c r="AS219" s="1048"/>
      <c r="AT219" s="1699" t="str">
        <f t="shared" si="473"/>
        <v>-</v>
      </c>
      <c r="AU219" s="1049"/>
      <c r="AV219" s="1050"/>
      <c r="AW219" s="1048"/>
      <c r="AX219" s="1699" t="str">
        <f t="shared" si="474"/>
        <v>-</v>
      </c>
      <c r="AY219" s="442"/>
    </row>
    <row r="220" spans="1:51" s="449" customFormat="1">
      <c r="A220" s="483">
        <f t="shared" si="475"/>
        <v>51</v>
      </c>
      <c r="B220" s="249">
        <v>6</v>
      </c>
      <c r="C220" s="1063" t="s">
        <v>694</v>
      </c>
      <c r="D220" s="862" t="s">
        <v>693</v>
      </c>
      <c r="E220" s="1064" t="s">
        <v>1257</v>
      </c>
      <c r="F220" s="863" t="s">
        <v>1042</v>
      </c>
      <c r="G220" s="1280">
        <f t="shared" si="476"/>
        <v>600</v>
      </c>
      <c r="H220" s="1281">
        <f t="shared" si="477"/>
        <v>0</v>
      </c>
      <c r="I220" s="1281">
        <f t="shared" si="478"/>
        <v>0</v>
      </c>
      <c r="J220" s="1668" t="str">
        <f t="shared" si="458"/>
        <v>-</v>
      </c>
      <c r="K220" s="1280">
        <f t="shared" si="479"/>
        <v>600</v>
      </c>
      <c r="L220" s="1281">
        <f t="shared" si="480"/>
        <v>0</v>
      </c>
      <c r="M220" s="1281">
        <f t="shared" si="481"/>
        <v>0</v>
      </c>
      <c r="N220" s="1668" t="str">
        <f t="shared" si="462"/>
        <v>-</v>
      </c>
      <c r="O220" s="1047"/>
      <c r="P220" s="1048"/>
      <c r="Q220" s="1048"/>
      <c r="R220" s="1699" t="str">
        <f t="shared" si="463"/>
        <v>-</v>
      </c>
      <c r="S220" s="1049"/>
      <c r="T220" s="1050"/>
      <c r="U220" s="1048"/>
      <c r="V220" s="1699" t="str">
        <f t="shared" si="464"/>
        <v>-</v>
      </c>
      <c r="W220" s="1049"/>
      <c r="X220" s="1050"/>
      <c r="Y220" s="1048"/>
      <c r="Z220" s="1699" t="str">
        <f t="shared" si="465"/>
        <v>-</v>
      </c>
      <c r="AA220" s="1049">
        <v>600</v>
      </c>
      <c r="AB220" s="1050">
        <v>0</v>
      </c>
      <c r="AC220" s="1048"/>
      <c r="AD220" s="1699" t="str">
        <f t="shared" si="466"/>
        <v>-</v>
      </c>
      <c r="AE220" s="1049"/>
      <c r="AF220" s="1050"/>
      <c r="AG220" s="1048"/>
      <c r="AH220" s="1699" t="str">
        <f t="shared" si="467"/>
        <v>-</v>
      </c>
      <c r="AI220" s="1280">
        <f t="shared" si="482"/>
        <v>0</v>
      </c>
      <c r="AJ220" s="1281">
        <f t="shared" si="483"/>
        <v>0</v>
      </c>
      <c r="AK220" s="1281">
        <f t="shared" si="484"/>
        <v>0</v>
      </c>
      <c r="AL220" s="1668" t="str">
        <f t="shared" si="471"/>
        <v>-</v>
      </c>
      <c r="AM220" s="1049"/>
      <c r="AN220" s="1050"/>
      <c r="AO220" s="1048"/>
      <c r="AP220" s="1699" t="str">
        <f t="shared" si="472"/>
        <v>-</v>
      </c>
      <c r="AQ220" s="1049"/>
      <c r="AR220" s="1050"/>
      <c r="AS220" s="1048"/>
      <c r="AT220" s="1699" t="str">
        <f t="shared" si="473"/>
        <v>-</v>
      </c>
      <c r="AU220" s="1049"/>
      <c r="AV220" s="1050"/>
      <c r="AW220" s="1048"/>
      <c r="AX220" s="1699" t="str">
        <f t="shared" si="474"/>
        <v>-</v>
      </c>
      <c r="AY220" s="442"/>
    </row>
    <row r="221" spans="1:51" s="449" customFormat="1">
      <c r="A221" s="483">
        <f t="shared" si="475"/>
        <v>52</v>
      </c>
      <c r="B221" s="249">
        <v>6</v>
      </c>
      <c r="C221" s="1063" t="s">
        <v>1039</v>
      </c>
      <c r="D221" s="862" t="s">
        <v>1038</v>
      </c>
      <c r="E221" s="1064" t="s">
        <v>1267</v>
      </c>
      <c r="F221" s="863" t="s">
        <v>1038</v>
      </c>
      <c r="G221" s="1280">
        <f t="shared" si="476"/>
        <v>0</v>
      </c>
      <c r="H221" s="1281">
        <f t="shared" si="477"/>
        <v>0</v>
      </c>
      <c r="I221" s="1281">
        <f t="shared" si="478"/>
        <v>0</v>
      </c>
      <c r="J221" s="1668" t="str">
        <f t="shared" si="458"/>
        <v>-</v>
      </c>
      <c r="K221" s="1280">
        <f t="shared" si="479"/>
        <v>0</v>
      </c>
      <c r="L221" s="1281">
        <f t="shared" si="480"/>
        <v>0</v>
      </c>
      <c r="M221" s="1281">
        <f t="shared" si="481"/>
        <v>0</v>
      </c>
      <c r="N221" s="1668" t="str">
        <f t="shared" si="462"/>
        <v>-</v>
      </c>
      <c r="O221" s="1047"/>
      <c r="P221" s="1048"/>
      <c r="Q221" s="1048"/>
      <c r="R221" s="1699" t="str">
        <f t="shared" si="463"/>
        <v>-</v>
      </c>
      <c r="S221" s="1049"/>
      <c r="T221" s="1050"/>
      <c r="U221" s="1048"/>
      <c r="V221" s="1699" t="str">
        <f t="shared" si="464"/>
        <v>-</v>
      </c>
      <c r="W221" s="1049"/>
      <c r="X221" s="1050"/>
      <c r="Y221" s="1048"/>
      <c r="Z221" s="1699" t="str">
        <f t="shared" si="465"/>
        <v>-</v>
      </c>
      <c r="AA221" s="1049"/>
      <c r="AB221" s="1050"/>
      <c r="AC221" s="1048"/>
      <c r="AD221" s="1699" t="str">
        <f t="shared" si="466"/>
        <v>-</v>
      </c>
      <c r="AE221" s="1049"/>
      <c r="AF221" s="1050"/>
      <c r="AG221" s="1048"/>
      <c r="AH221" s="1699" t="str">
        <f t="shared" si="467"/>
        <v>-</v>
      </c>
      <c r="AI221" s="1280">
        <f t="shared" si="482"/>
        <v>0</v>
      </c>
      <c r="AJ221" s="1281">
        <f t="shared" si="483"/>
        <v>0</v>
      </c>
      <c r="AK221" s="1281">
        <f t="shared" si="484"/>
        <v>0</v>
      </c>
      <c r="AL221" s="1668" t="str">
        <f t="shared" si="471"/>
        <v>-</v>
      </c>
      <c r="AM221" s="1049"/>
      <c r="AN221" s="1050"/>
      <c r="AO221" s="1048"/>
      <c r="AP221" s="1699" t="str">
        <f t="shared" si="472"/>
        <v>-</v>
      </c>
      <c r="AQ221" s="1049"/>
      <c r="AR221" s="1050"/>
      <c r="AS221" s="1048"/>
      <c r="AT221" s="1699" t="str">
        <f t="shared" si="473"/>
        <v>-</v>
      </c>
      <c r="AU221" s="1049"/>
      <c r="AV221" s="1050"/>
      <c r="AW221" s="1048"/>
      <c r="AX221" s="1699" t="str">
        <f t="shared" si="474"/>
        <v>-</v>
      </c>
      <c r="AY221" s="442"/>
    </row>
    <row r="222" spans="1:51" s="449" customFormat="1">
      <c r="A222" s="483">
        <f t="shared" si="475"/>
        <v>53</v>
      </c>
      <c r="B222" s="249">
        <v>6</v>
      </c>
      <c r="C222" s="1063" t="s">
        <v>690</v>
      </c>
      <c r="D222" s="862" t="s">
        <v>689</v>
      </c>
      <c r="E222" s="1064" t="s">
        <v>1257</v>
      </c>
      <c r="F222" s="863" t="s">
        <v>646</v>
      </c>
      <c r="G222" s="1280">
        <f t="shared" si="476"/>
        <v>0</v>
      </c>
      <c r="H222" s="1281">
        <f t="shared" si="477"/>
        <v>0</v>
      </c>
      <c r="I222" s="1281">
        <f t="shared" si="478"/>
        <v>0</v>
      </c>
      <c r="J222" s="1668" t="str">
        <f t="shared" si="458"/>
        <v>-</v>
      </c>
      <c r="K222" s="1280">
        <f t="shared" si="479"/>
        <v>0</v>
      </c>
      <c r="L222" s="1281">
        <f t="shared" si="480"/>
        <v>0</v>
      </c>
      <c r="M222" s="1281">
        <f t="shared" si="481"/>
        <v>0</v>
      </c>
      <c r="N222" s="1668" t="str">
        <f t="shared" si="462"/>
        <v>-</v>
      </c>
      <c r="O222" s="1047"/>
      <c r="P222" s="1048"/>
      <c r="Q222" s="1048"/>
      <c r="R222" s="1699" t="str">
        <f t="shared" si="463"/>
        <v>-</v>
      </c>
      <c r="S222" s="1049"/>
      <c r="T222" s="1050"/>
      <c r="U222" s="1048"/>
      <c r="V222" s="1699" t="str">
        <f t="shared" si="464"/>
        <v>-</v>
      </c>
      <c r="W222" s="1049"/>
      <c r="X222" s="1050"/>
      <c r="Y222" s="1048"/>
      <c r="Z222" s="1699" t="str">
        <f t="shared" si="465"/>
        <v>-</v>
      </c>
      <c r="AA222" s="1049"/>
      <c r="AB222" s="1050"/>
      <c r="AC222" s="1048"/>
      <c r="AD222" s="1699" t="str">
        <f t="shared" si="466"/>
        <v>-</v>
      </c>
      <c r="AE222" s="1049"/>
      <c r="AF222" s="1050"/>
      <c r="AG222" s="1048"/>
      <c r="AH222" s="1699" t="str">
        <f t="shared" si="467"/>
        <v>-</v>
      </c>
      <c r="AI222" s="1280">
        <f t="shared" si="482"/>
        <v>0</v>
      </c>
      <c r="AJ222" s="1281">
        <f t="shared" si="483"/>
        <v>0</v>
      </c>
      <c r="AK222" s="1281">
        <f t="shared" si="484"/>
        <v>0</v>
      </c>
      <c r="AL222" s="1668" t="str">
        <f t="shared" si="471"/>
        <v>-</v>
      </c>
      <c r="AM222" s="1049"/>
      <c r="AN222" s="1050"/>
      <c r="AO222" s="1048"/>
      <c r="AP222" s="1699" t="str">
        <f t="shared" si="472"/>
        <v>-</v>
      </c>
      <c r="AQ222" s="1049"/>
      <c r="AR222" s="1050"/>
      <c r="AS222" s="1048"/>
      <c r="AT222" s="1699" t="str">
        <f t="shared" si="473"/>
        <v>-</v>
      </c>
      <c r="AU222" s="1049"/>
      <c r="AV222" s="1050"/>
      <c r="AW222" s="1048"/>
      <c r="AX222" s="1699" t="str">
        <f t="shared" si="474"/>
        <v>-</v>
      </c>
      <c r="AY222" s="442"/>
    </row>
    <row r="223" spans="1:51" s="449" customFormat="1">
      <c r="A223" s="483">
        <f t="shared" si="475"/>
        <v>54</v>
      </c>
      <c r="B223" s="249">
        <v>6</v>
      </c>
      <c r="C223" s="1063" t="s">
        <v>690</v>
      </c>
      <c r="D223" s="862" t="s">
        <v>689</v>
      </c>
      <c r="E223" s="1064" t="s">
        <v>1257</v>
      </c>
      <c r="F223" s="863" t="s">
        <v>647</v>
      </c>
      <c r="G223" s="1280">
        <f t="shared" si="476"/>
        <v>0</v>
      </c>
      <c r="H223" s="1281">
        <f t="shared" si="477"/>
        <v>0</v>
      </c>
      <c r="I223" s="1281">
        <f t="shared" si="478"/>
        <v>0</v>
      </c>
      <c r="J223" s="1668" t="str">
        <f t="shared" si="458"/>
        <v>-</v>
      </c>
      <c r="K223" s="1280">
        <f t="shared" si="479"/>
        <v>0</v>
      </c>
      <c r="L223" s="1281">
        <f t="shared" si="480"/>
        <v>0</v>
      </c>
      <c r="M223" s="1281">
        <f t="shared" si="481"/>
        <v>0</v>
      </c>
      <c r="N223" s="1668" t="str">
        <f t="shared" si="462"/>
        <v>-</v>
      </c>
      <c r="O223" s="1047"/>
      <c r="P223" s="1048"/>
      <c r="Q223" s="1048"/>
      <c r="R223" s="1699" t="str">
        <f t="shared" si="463"/>
        <v>-</v>
      </c>
      <c r="S223" s="1049"/>
      <c r="T223" s="1050"/>
      <c r="U223" s="1048"/>
      <c r="V223" s="1699" t="str">
        <f t="shared" si="464"/>
        <v>-</v>
      </c>
      <c r="W223" s="1049"/>
      <c r="X223" s="1050"/>
      <c r="Y223" s="1048"/>
      <c r="Z223" s="1699" t="str">
        <f t="shared" si="465"/>
        <v>-</v>
      </c>
      <c r="AA223" s="1049"/>
      <c r="AB223" s="1050"/>
      <c r="AC223" s="1048"/>
      <c r="AD223" s="1699" t="str">
        <f t="shared" si="466"/>
        <v>-</v>
      </c>
      <c r="AE223" s="1049"/>
      <c r="AF223" s="1050"/>
      <c r="AG223" s="1048"/>
      <c r="AH223" s="1699" t="str">
        <f t="shared" si="467"/>
        <v>-</v>
      </c>
      <c r="AI223" s="1280">
        <f t="shared" si="482"/>
        <v>0</v>
      </c>
      <c r="AJ223" s="1281">
        <f t="shared" si="483"/>
        <v>0</v>
      </c>
      <c r="AK223" s="1281">
        <f t="shared" si="484"/>
        <v>0</v>
      </c>
      <c r="AL223" s="1668" t="str">
        <f t="shared" si="471"/>
        <v>-</v>
      </c>
      <c r="AM223" s="1049"/>
      <c r="AN223" s="1050"/>
      <c r="AO223" s="1048"/>
      <c r="AP223" s="1699" t="str">
        <f t="shared" si="472"/>
        <v>-</v>
      </c>
      <c r="AQ223" s="1049"/>
      <c r="AR223" s="1050"/>
      <c r="AS223" s="1048"/>
      <c r="AT223" s="1699" t="str">
        <f t="shared" si="473"/>
        <v>-</v>
      </c>
      <c r="AU223" s="1049"/>
      <c r="AV223" s="1050"/>
      <c r="AW223" s="1048"/>
      <c r="AX223" s="1699" t="str">
        <f t="shared" si="474"/>
        <v>-</v>
      </c>
      <c r="AY223" s="442"/>
    </row>
    <row r="224" spans="1:51" s="449" customFormat="1">
      <c r="A224" s="483">
        <f t="shared" si="475"/>
        <v>55</v>
      </c>
      <c r="B224" s="1213">
        <v>6</v>
      </c>
      <c r="C224" s="1063" t="s">
        <v>690</v>
      </c>
      <c r="D224" s="862" t="s">
        <v>689</v>
      </c>
      <c r="E224" s="1064" t="s">
        <v>1257</v>
      </c>
      <c r="F224" s="863" t="s">
        <v>648</v>
      </c>
      <c r="G224" s="1280">
        <f t="shared" si="476"/>
        <v>6105</v>
      </c>
      <c r="H224" s="1281">
        <f t="shared" si="477"/>
        <v>0</v>
      </c>
      <c r="I224" s="1281">
        <f t="shared" si="478"/>
        <v>0</v>
      </c>
      <c r="J224" s="1668" t="str">
        <f t="shared" si="458"/>
        <v>-</v>
      </c>
      <c r="K224" s="1280">
        <f t="shared" si="479"/>
        <v>6105</v>
      </c>
      <c r="L224" s="1281">
        <f t="shared" si="480"/>
        <v>0</v>
      </c>
      <c r="M224" s="1281">
        <f t="shared" si="481"/>
        <v>0</v>
      </c>
      <c r="N224" s="1668" t="str">
        <f t="shared" si="462"/>
        <v>-</v>
      </c>
      <c r="O224" s="1047"/>
      <c r="P224" s="1048"/>
      <c r="Q224" s="1048"/>
      <c r="R224" s="1699" t="str">
        <f t="shared" si="463"/>
        <v>-</v>
      </c>
      <c r="S224" s="1049"/>
      <c r="T224" s="1050"/>
      <c r="U224" s="1048"/>
      <c r="V224" s="1699" t="str">
        <f t="shared" si="464"/>
        <v>-</v>
      </c>
      <c r="W224" s="1049"/>
      <c r="X224" s="1050"/>
      <c r="Y224" s="1048"/>
      <c r="Z224" s="1699" t="str">
        <f t="shared" si="465"/>
        <v>-</v>
      </c>
      <c r="AA224" s="1049">
        <v>6105</v>
      </c>
      <c r="AB224" s="1050">
        <v>0</v>
      </c>
      <c r="AC224" s="1048"/>
      <c r="AD224" s="1699" t="str">
        <f t="shared" si="466"/>
        <v>-</v>
      </c>
      <c r="AE224" s="1049"/>
      <c r="AF224" s="1050"/>
      <c r="AG224" s="1048"/>
      <c r="AH224" s="1699" t="str">
        <f t="shared" si="467"/>
        <v>-</v>
      </c>
      <c r="AI224" s="1280">
        <f t="shared" si="482"/>
        <v>0</v>
      </c>
      <c r="AJ224" s="1281">
        <f t="shared" si="483"/>
        <v>0</v>
      </c>
      <c r="AK224" s="1281">
        <f t="shared" si="484"/>
        <v>0</v>
      </c>
      <c r="AL224" s="1668" t="str">
        <f t="shared" si="471"/>
        <v>-</v>
      </c>
      <c r="AM224" s="1049"/>
      <c r="AN224" s="1050"/>
      <c r="AO224" s="1048"/>
      <c r="AP224" s="1699" t="str">
        <f t="shared" si="472"/>
        <v>-</v>
      </c>
      <c r="AQ224" s="1049"/>
      <c r="AR224" s="1050"/>
      <c r="AS224" s="1048"/>
      <c r="AT224" s="1699" t="str">
        <f t="shared" si="473"/>
        <v>-</v>
      </c>
      <c r="AU224" s="1049"/>
      <c r="AV224" s="1050"/>
      <c r="AW224" s="1048"/>
      <c r="AX224" s="1699" t="str">
        <f t="shared" si="474"/>
        <v>-</v>
      </c>
      <c r="AY224" s="442"/>
    </row>
    <row r="225" spans="1:51" s="449" customFormat="1">
      <c r="A225" s="483">
        <f t="shared" si="475"/>
        <v>56</v>
      </c>
      <c r="B225" s="1213">
        <v>7</v>
      </c>
      <c r="C225" s="1063" t="s">
        <v>1291</v>
      </c>
      <c r="D225" s="862" t="s">
        <v>1304</v>
      </c>
      <c r="E225" s="1064" t="s">
        <v>1257</v>
      </c>
      <c r="F225" s="863" t="s">
        <v>1303</v>
      </c>
      <c r="G225" s="1280">
        <f t="shared" si="476"/>
        <v>0</v>
      </c>
      <c r="H225" s="1281">
        <f t="shared" si="477"/>
        <v>14557</v>
      </c>
      <c r="I225" s="1281">
        <f t="shared" si="478"/>
        <v>14557</v>
      </c>
      <c r="J225" s="1668">
        <f t="shared" si="458"/>
        <v>1</v>
      </c>
      <c r="K225" s="1280">
        <f t="shared" si="479"/>
        <v>0</v>
      </c>
      <c r="L225" s="1281">
        <f t="shared" si="480"/>
        <v>14557</v>
      </c>
      <c r="M225" s="1281">
        <f t="shared" si="481"/>
        <v>14557</v>
      </c>
      <c r="N225" s="1668">
        <f t="shared" si="462"/>
        <v>1</v>
      </c>
      <c r="O225" s="1047"/>
      <c r="P225" s="1048">
        <v>6529</v>
      </c>
      <c r="Q225" s="1048">
        <v>6529</v>
      </c>
      <c r="R225" s="1699">
        <f t="shared" si="463"/>
        <v>1</v>
      </c>
      <c r="S225" s="1049"/>
      <c r="T225" s="1050">
        <v>1167</v>
      </c>
      <c r="U225" s="1048">
        <v>1167</v>
      </c>
      <c r="V225" s="1699">
        <f t="shared" si="464"/>
        <v>1</v>
      </c>
      <c r="W225" s="1049"/>
      <c r="X225" s="1050">
        <v>6861</v>
      </c>
      <c r="Y225" s="1048">
        <v>6861</v>
      </c>
      <c r="Z225" s="1699">
        <f t="shared" si="465"/>
        <v>1</v>
      </c>
      <c r="AA225" s="1049"/>
      <c r="AB225" s="1050"/>
      <c r="AC225" s="1048"/>
      <c r="AD225" s="1699" t="str">
        <f t="shared" si="466"/>
        <v>-</v>
      </c>
      <c r="AE225" s="1049"/>
      <c r="AF225" s="1050"/>
      <c r="AG225" s="1048"/>
      <c r="AH225" s="1699" t="str">
        <f t="shared" si="467"/>
        <v>-</v>
      </c>
      <c r="AI225" s="1280">
        <f t="shared" si="482"/>
        <v>0</v>
      </c>
      <c r="AJ225" s="1281">
        <f t="shared" si="483"/>
        <v>0</v>
      </c>
      <c r="AK225" s="1281">
        <f t="shared" si="484"/>
        <v>0</v>
      </c>
      <c r="AL225" s="1668" t="str">
        <f t="shared" si="471"/>
        <v>-</v>
      </c>
      <c r="AM225" s="1049"/>
      <c r="AN225" s="1050"/>
      <c r="AO225" s="1048"/>
      <c r="AP225" s="1699" t="str">
        <f t="shared" si="472"/>
        <v>-</v>
      </c>
      <c r="AQ225" s="1049"/>
      <c r="AR225" s="1050"/>
      <c r="AS225" s="1048"/>
      <c r="AT225" s="1699" t="str">
        <f t="shared" si="473"/>
        <v>-</v>
      </c>
      <c r="AU225" s="1049"/>
      <c r="AV225" s="1050"/>
      <c r="AW225" s="1048"/>
      <c r="AX225" s="1699" t="str">
        <f t="shared" si="474"/>
        <v>-</v>
      </c>
      <c r="AY225" s="442"/>
    </row>
    <row r="226" spans="1:51" s="449" customFormat="1">
      <c r="A226" s="483">
        <f t="shared" si="475"/>
        <v>57</v>
      </c>
      <c r="B226" s="1213">
        <v>8</v>
      </c>
      <c r="C226" s="1063" t="s">
        <v>1046</v>
      </c>
      <c r="D226" s="862" t="s">
        <v>1048</v>
      </c>
      <c r="E226" s="1064" t="s">
        <v>1257</v>
      </c>
      <c r="F226" s="863" t="s">
        <v>1047</v>
      </c>
      <c r="G226" s="1280">
        <f t="shared" si="476"/>
        <v>2000</v>
      </c>
      <c r="H226" s="1281">
        <f t="shared" si="477"/>
        <v>0</v>
      </c>
      <c r="I226" s="1281">
        <f t="shared" si="478"/>
        <v>0</v>
      </c>
      <c r="J226" s="1668" t="str">
        <f t="shared" si="458"/>
        <v>-</v>
      </c>
      <c r="K226" s="1280">
        <f t="shared" si="479"/>
        <v>2000</v>
      </c>
      <c r="L226" s="1281">
        <f t="shared" si="480"/>
        <v>0</v>
      </c>
      <c r="M226" s="1281">
        <f t="shared" si="481"/>
        <v>0</v>
      </c>
      <c r="N226" s="1668" t="str">
        <f t="shared" si="462"/>
        <v>-</v>
      </c>
      <c r="O226" s="1047"/>
      <c r="P226" s="1048"/>
      <c r="Q226" s="1048"/>
      <c r="R226" s="1699" t="str">
        <f t="shared" si="463"/>
        <v>-</v>
      </c>
      <c r="S226" s="1049"/>
      <c r="T226" s="1050"/>
      <c r="U226" s="1048"/>
      <c r="V226" s="1699" t="str">
        <f t="shared" si="464"/>
        <v>-</v>
      </c>
      <c r="W226" s="1049">
        <v>2000</v>
      </c>
      <c r="X226" s="1050">
        <v>0</v>
      </c>
      <c r="Y226" s="1048"/>
      <c r="Z226" s="1699" t="str">
        <f t="shared" si="465"/>
        <v>-</v>
      </c>
      <c r="AA226" s="1049"/>
      <c r="AB226" s="1050"/>
      <c r="AC226" s="1048"/>
      <c r="AD226" s="1699" t="str">
        <f t="shared" si="466"/>
        <v>-</v>
      </c>
      <c r="AE226" s="1049"/>
      <c r="AF226" s="1050"/>
      <c r="AG226" s="1048"/>
      <c r="AH226" s="1699" t="str">
        <f t="shared" si="467"/>
        <v>-</v>
      </c>
      <c r="AI226" s="1280">
        <f t="shared" si="482"/>
        <v>0</v>
      </c>
      <c r="AJ226" s="1281">
        <f t="shared" si="483"/>
        <v>0</v>
      </c>
      <c r="AK226" s="1281">
        <f t="shared" si="484"/>
        <v>0</v>
      </c>
      <c r="AL226" s="1668" t="str">
        <f t="shared" si="471"/>
        <v>-</v>
      </c>
      <c r="AM226" s="1049"/>
      <c r="AN226" s="1050"/>
      <c r="AO226" s="1048"/>
      <c r="AP226" s="1699" t="str">
        <f t="shared" si="472"/>
        <v>-</v>
      </c>
      <c r="AQ226" s="1049"/>
      <c r="AR226" s="1050"/>
      <c r="AS226" s="1048"/>
      <c r="AT226" s="1699" t="str">
        <f t="shared" si="473"/>
        <v>-</v>
      </c>
      <c r="AU226" s="1049"/>
      <c r="AV226" s="1050"/>
      <c r="AW226" s="1048"/>
      <c r="AX226" s="1699" t="str">
        <f t="shared" si="474"/>
        <v>-</v>
      </c>
      <c r="AY226" s="442"/>
    </row>
    <row r="227" spans="1:51" s="449" customFormat="1">
      <c r="A227" s="483">
        <f t="shared" si="475"/>
        <v>58</v>
      </c>
      <c r="B227" s="1213">
        <v>6</v>
      </c>
      <c r="C227" s="1063" t="s">
        <v>1066</v>
      </c>
      <c r="D227" s="862" t="s">
        <v>1068</v>
      </c>
      <c r="E227" s="1064" t="s">
        <v>1268</v>
      </c>
      <c r="F227" s="863" t="s">
        <v>1068</v>
      </c>
      <c r="G227" s="1280">
        <f t="shared" si="476"/>
        <v>0</v>
      </c>
      <c r="H227" s="1281">
        <f t="shared" si="477"/>
        <v>19589</v>
      </c>
      <c r="I227" s="1281">
        <f t="shared" si="478"/>
        <v>19589</v>
      </c>
      <c r="J227" s="1668">
        <f t="shared" si="458"/>
        <v>1</v>
      </c>
      <c r="K227" s="1280">
        <f t="shared" si="479"/>
        <v>0</v>
      </c>
      <c r="L227" s="1281">
        <f t="shared" si="480"/>
        <v>2405</v>
      </c>
      <c r="M227" s="1281">
        <f t="shared" si="481"/>
        <v>2405</v>
      </c>
      <c r="N227" s="1668">
        <f t="shared" si="462"/>
        <v>1</v>
      </c>
      <c r="O227" s="1047"/>
      <c r="P227" s="1048"/>
      <c r="Q227" s="1048"/>
      <c r="R227" s="1699" t="str">
        <f t="shared" si="463"/>
        <v>-</v>
      </c>
      <c r="S227" s="1049"/>
      <c r="T227" s="1050"/>
      <c r="U227" s="1048"/>
      <c r="V227" s="1699" t="str">
        <f t="shared" si="464"/>
        <v>-</v>
      </c>
      <c r="W227" s="1049"/>
      <c r="X227" s="1050">
        <v>2405</v>
      </c>
      <c r="Y227" s="1048">
        <v>2405</v>
      </c>
      <c r="Z227" s="1699">
        <f t="shared" si="465"/>
        <v>1</v>
      </c>
      <c r="AA227" s="1049"/>
      <c r="AB227" s="1050"/>
      <c r="AC227" s="1048"/>
      <c r="AD227" s="1699" t="str">
        <f t="shared" si="466"/>
        <v>-</v>
      </c>
      <c r="AE227" s="1049"/>
      <c r="AF227" s="1050"/>
      <c r="AG227" s="1048"/>
      <c r="AH227" s="1699" t="str">
        <f t="shared" si="467"/>
        <v>-</v>
      </c>
      <c r="AI227" s="1280">
        <f t="shared" si="482"/>
        <v>0</v>
      </c>
      <c r="AJ227" s="1281">
        <f t="shared" si="483"/>
        <v>17184</v>
      </c>
      <c r="AK227" s="1281">
        <f t="shared" si="484"/>
        <v>17184</v>
      </c>
      <c r="AL227" s="1668">
        <f t="shared" si="471"/>
        <v>1</v>
      </c>
      <c r="AM227" s="1049"/>
      <c r="AN227" s="1050">
        <v>3500</v>
      </c>
      <c r="AO227" s="1048">
        <v>3500</v>
      </c>
      <c r="AP227" s="1699">
        <f t="shared" si="472"/>
        <v>1</v>
      </c>
      <c r="AQ227" s="1049"/>
      <c r="AR227" s="1050">
        <v>13684</v>
      </c>
      <c r="AS227" s="1048">
        <v>13684</v>
      </c>
      <c r="AT227" s="1699">
        <f t="shared" si="473"/>
        <v>1</v>
      </c>
      <c r="AU227" s="1049"/>
      <c r="AV227" s="1050"/>
      <c r="AW227" s="1048"/>
      <c r="AX227" s="1699" t="str">
        <f t="shared" si="474"/>
        <v>-</v>
      </c>
      <c r="AY227" s="442"/>
    </row>
    <row r="228" spans="1:51" s="449" customFormat="1">
      <c r="A228" s="483">
        <f t="shared" si="475"/>
        <v>59</v>
      </c>
      <c r="B228" s="1213">
        <v>6</v>
      </c>
      <c r="C228" s="1063" t="s">
        <v>685</v>
      </c>
      <c r="D228" s="862" t="s">
        <v>686</v>
      </c>
      <c r="E228" s="1064" t="s">
        <v>1257</v>
      </c>
      <c r="F228" s="863" t="s">
        <v>1041</v>
      </c>
      <c r="G228" s="1280">
        <f t="shared" si="476"/>
        <v>19800</v>
      </c>
      <c r="H228" s="1281">
        <f t="shared" si="477"/>
        <v>0</v>
      </c>
      <c r="I228" s="1281">
        <f t="shared" si="478"/>
        <v>0</v>
      </c>
      <c r="J228" s="1668" t="str">
        <f t="shared" si="458"/>
        <v>-</v>
      </c>
      <c r="K228" s="1280">
        <f t="shared" si="479"/>
        <v>19800</v>
      </c>
      <c r="L228" s="1281">
        <f t="shared" si="480"/>
        <v>0</v>
      </c>
      <c r="M228" s="1281">
        <f t="shared" si="481"/>
        <v>0</v>
      </c>
      <c r="N228" s="1668" t="str">
        <f t="shared" si="462"/>
        <v>-</v>
      </c>
      <c r="O228" s="1047"/>
      <c r="P228" s="1048"/>
      <c r="Q228" s="1048"/>
      <c r="R228" s="1699" t="str">
        <f t="shared" si="463"/>
        <v>-</v>
      </c>
      <c r="S228" s="1049"/>
      <c r="T228" s="1050"/>
      <c r="U228" s="1048"/>
      <c r="V228" s="1699" t="str">
        <f t="shared" si="464"/>
        <v>-</v>
      </c>
      <c r="W228" s="1049"/>
      <c r="X228" s="1050"/>
      <c r="Y228" s="1048"/>
      <c r="Z228" s="1699" t="str">
        <f t="shared" si="465"/>
        <v>-</v>
      </c>
      <c r="AA228" s="1049">
        <v>19800</v>
      </c>
      <c r="AB228" s="1050">
        <v>0</v>
      </c>
      <c r="AC228" s="1048"/>
      <c r="AD228" s="1699" t="str">
        <f t="shared" si="466"/>
        <v>-</v>
      </c>
      <c r="AE228" s="1049"/>
      <c r="AF228" s="1050"/>
      <c r="AG228" s="1048"/>
      <c r="AH228" s="1699" t="str">
        <f t="shared" si="467"/>
        <v>-</v>
      </c>
      <c r="AI228" s="1280">
        <f t="shared" si="482"/>
        <v>0</v>
      </c>
      <c r="AJ228" s="1281">
        <f t="shared" si="483"/>
        <v>0</v>
      </c>
      <c r="AK228" s="1281">
        <f t="shared" si="484"/>
        <v>0</v>
      </c>
      <c r="AL228" s="1668" t="str">
        <f t="shared" si="471"/>
        <v>-</v>
      </c>
      <c r="AM228" s="1049"/>
      <c r="AN228" s="1050"/>
      <c r="AO228" s="1048"/>
      <c r="AP228" s="1699" t="str">
        <f t="shared" si="472"/>
        <v>-</v>
      </c>
      <c r="AQ228" s="1049"/>
      <c r="AR228" s="1050"/>
      <c r="AS228" s="1048"/>
      <c r="AT228" s="1699" t="str">
        <f t="shared" si="473"/>
        <v>-</v>
      </c>
      <c r="AU228" s="1049"/>
      <c r="AV228" s="1050"/>
      <c r="AW228" s="1048"/>
      <c r="AX228" s="1699" t="str">
        <f t="shared" si="474"/>
        <v>-</v>
      </c>
      <c r="AY228" s="442"/>
    </row>
    <row r="229" spans="1:51" s="449" customFormat="1">
      <c r="A229" s="483">
        <f t="shared" si="475"/>
        <v>60</v>
      </c>
      <c r="B229" s="1213">
        <v>6</v>
      </c>
      <c r="C229" s="1063" t="s">
        <v>691</v>
      </c>
      <c r="D229" s="862" t="s">
        <v>692</v>
      </c>
      <c r="E229" s="1064" t="s">
        <v>1257</v>
      </c>
      <c r="F229" s="863" t="s">
        <v>1043</v>
      </c>
      <c r="G229" s="1280">
        <f t="shared" si="476"/>
        <v>22600</v>
      </c>
      <c r="H229" s="1281">
        <f t="shared" si="477"/>
        <v>48251</v>
      </c>
      <c r="I229" s="1281">
        <f t="shared" si="478"/>
        <v>47953</v>
      </c>
      <c r="J229" s="1668">
        <f t="shared" si="458"/>
        <v>0.99382396219767466</v>
      </c>
      <c r="K229" s="1280">
        <f t="shared" si="479"/>
        <v>22600</v>
      </c>
      <c r="L229" s="1281">
        <f t="shared" si="480"/>
        <v>48251</v>
      </c>
      <c r="M229" s="1281">
        <f t="shared" si="481"/>
        <v>47953</v>
      </c>
      <c r="N229" s="1668">
        <f t="shared" si="462"/>
        <v>0.99382396219767466</v>
      </c>
      <c r="O229" s="1047"/>
      <c r="P229" s="1048"/>
      <c r="Q229" s="1048"/>
      <c r="R229" s="1699" t="str">
        <f t="shared" si="463"/>
        <v>-</v>
      </c>
      <c r="S229" s="1049"/>
      <c r="T229" s="1050"/>
      <c r="U229" s="1048"/>
      <c r="V229" s="1699" t="str">
        <f t="shared" si="464"/>
        <v>-</v>
      </c>
      <c r="W229" s="1049"/>
      <c r="X229" s="1050">
        <v>4792</v>
      </c>
      <c r="Y229" s="1048">
        <v>4792</v>
      </c>
      <c r="Z229" s="1699">
        <f t="shared" si="465"/>
        <v>1</v>
      </c>
      <c r="AA229" s="1049">
        <v>22600</v>
      </c>
      <c r="AB229" s="1050">
        <v>43459</v>
      </c>
      <c r="AC229" s="1048">
        <v>43161</v>
      </c>
      <c r="AD229" s="1699">
        <f t="shared" si="466"/>
        <v>0.99314296233231325</v>
      </c>
      <c r="AE229" s="1049"/>
      <c r="AF229" s="1050"/>
      <c r="AG229" s="1048"/>
      <c r="AH229" s="1699" t="str">
        <f t="shared" si="467"/>
        <v>-</v>
      </c>
      <c r="AI229" s="1280">
        <f t="shared" si="482"/>
        <v>0</v>
      </c>
      <c r="AJ229" s="1281">
        <f t="shared" si="483"/>
        <v>0</v>
      </c>
      <c r="AK229" s="1281">
        <f t="shared" si="484"/>
        <v>0</v>
      </c>
      <c r="AL229" s="1668" t="str">
        <f t="shared" si="471"/>
        <v>-</v>
      </c>
      <c r="AM229" s="1049"/>
      <c r="AN229" s="1050"/>
      <c r="AO229" s="1048"/>
      <c r="AP229" s="1699" t="str">
        <f t="shared" si="472"/>
        <v>-</v>
      </c>
      <c r="AQ229" s="1049"/>
      <c r="AR229" s="1050"/>
      <c r="AS229" s="1048"/>
      <c r="AT229" s="1699" t="str">
        <f t="shared" si="473"/>
        <v>-</v>
      </c>
      <c r="AU229" s="1049"/>
      <c r="AV229" s="1050"/>
      <c r="AW229" s="1048"/>
      <c r="AX229" s="1699" t="str">
        <f t="shared" si="474"/>
        <v>-</v>
      </c>
      <c r="AY229" s="442"/>
    </row>
    <row r="230" spans="1:51" s="449" customFormat="1">
      <c r="A230" s="483">
        <f t="shared" si="475"/>
        <v>61</v>
      </c>
      <c r="B230" s="1213">
        <v>6</v>
      </c>
      <c r="C230" s="1063" t="s">
        <v>691</v>
      </c>
      <c r="D230" s="862" t="s">
        <v>696</v>
      </c>
      <c r="E230" s="1064" t="s">
        <v>1257</v>
      </c>
      <c r="F230" s="863" t="s">
        <v>649</v>
      </c>
      <c r="G230" s="1280">
        <f t="shared" si="476"/>
        <v>1000</v>
      </c>
      <c r="H230" s="1281">
        <f t="shared" si="477"/>
        <v>0</v>
      </c>
      <c r="I230" s="1281">
        <f t="shared" si="478"/>
        <v>0</v>
      </c>
      <c r="J230" s="1668" t="str">
        <f t="shared" si="458"/>
        <v>-</v>
      </c>
      <c r="K230" s="1280">
        <f t="shared" si="479"/>
        <v>1000</v>
      </c>
      <c r="L230" s="1281">
        <f t="shared" si="480"/>
        <v>0</v>
      </c>
      <c r="M230" s="1281">
        <f t="shared" si="481"/>
        <v>0</v>
      </c>
      <c r="N230" s="1668" t="str">
        <f t="shared" si="462"/>
        <v>-</v>
      </c>
      <c r="O230" s="1047"/>
      <c r="P230" s="1048"/>
      <c r="Q230" s="1048"/>
      <c r="R230" s="1699" t="str">
        <f t="shared" si="463"/>
        <v>-</v>
      </c>
      <c r="S230" s="1049"/>
      <c r="T230" s="1050"/>
      <c r="U230" s="1048"/>
      <c r="V230" s="1699" t="str">
        <f t="shared" si="464"/>
        <v>-</v>
      </c>
      <c r="W230" s="1049"/>
      <c r="X230" s="1050"/>
      <c r="Y230" s="1048"/>
      <c r="Z230" s="1699" t="str">
        <f t="shared" si="465"/>
        <v>-</v>
      </c>
      <c r="AA230" s="1049">
        <v>1000</v>
      </c>
      <c r="AB230" s="1050">
        <v>0</v>
      </c>
      <c r="AC230" s="1048"/>
      <c r="AD230" s="1699" t="str">
        <f t="shared" si="466"/>
        <v>-</v>
      </c>
      <c r="AE230" s="1049"/>
      <c r="AF230" s="1050"/>
      <c r="AG230" s="1048"/>
      <c r="AH230" s="1699" t="str">
        <f t="shared" si="467"/>
        <v>-</v>
      </c>
      <c r="AI230" s="1280">
        <f t="shared" si="482"/>
        <v>0</v>
      </c>
      <c r="AJ230" s="1281">
        <f t="shared" si="483"/>
        <v>0</v>
      </c>
      <c r="AK230" s="1281">
        <f t="shared" si="484"/>
        <v>0</v>
      </c>
      <c r="AL230" s="1668" t="str">
        <f t="shared" si="471"/>
        <v>-</v>
      </c>
      <c r="AM230" s="1049"/>
      <c r="AN230" s="1050"/>
      <c r="AO230" s="1048"/>
      <c r="AP230" s="1699" t="str">
        <f t="shared" si="472"/>
        <v>-</v>
      </c>
      <c r="AQ230" s="1049"/>
      <c r="AR230" s="1050"/>
      <c r="AS230" s="1048"/>
      <c r="AT230" s="1699" t="str">
        <f t="shared" si="473"/>
        <v>-</v>
      </c>
      <c r="AU230" s="1049"/>
      <c r="AV230" s="1050"/>
      <c r="AW230" s="1048"/>
      <c r="AX230" s="1699" t="str">
        <f t="shared" si="474"/>
        <v>-</v>
      </c>
      <c r="AY230" s="442"/>
    </row>
    <row r="231" spans="1:51" s="449" customFormat="1">
      <c r="A231" s="483">
        <f t="shared" si="475"/>
        <v>62</v>
      </c>
      <c r="B231" s="1213">
        <v>7</v>
      </c>
      <c r="C231" s="1063" t="s">
        <v>711</v>
      </c>
      <c r="D231" s="862" t="s">
        <v>1334</v>
      </c>
      <c r="E231" s="1064" t="s">
        <v>1260</v>
      </c>
      <c r="F231" s="863" t="s">
        <v>1335</v>
      </c>
      <c r="G231" s="1280">
        <f t="shared" si="476"/>
        <v>0</v>
      </c>
      <c r="H231" s="1281">
        <f t="shared" si="477"/>
        <v>8865</v>
      </c>
      <c r="I231" s="1281">
        <f t="shared" si="478"/>
        <v>8865</v>
      </c>
      <c r="J231" s="1668">
        <f t="shared" si="458"/>
        <v>1</v>
      </c>
      <c r="K231" s="1280">
        <f t="shared" si="479"/>
        <v>0</v>
      </c>
      <c r="L231" s="1281">
        <f t="shared" si="480"/>
        <v>8865</v>
      </c>
      <c r="M231" s="1281">
        <f t="shared" si="481"/>
        <v>8865</v>
      </c>
      <c r="N231" s="1668">
        <f t="shared" si="462"/>
        <v>1</v>
      </c>
      <c r="O231" s="1047"/>
      <c r="P231" s="1048"/>
      <c r="Q231" s="1048"/>
      <c r="R231" s="1699" t="str">
        <f t="shared" si="463"/>
        <v>-</v>
      </c>
      <c r="S231" s="1049"/>
      <c r="T231" s="1050"/>
      <c r="U231" s="1048"/>
      <c r="V231" s="1699" t="str">
        <f t="shared" si="464"/>
        <v>-</v>
      </c>
      <c r="W231" s="1049"/>
      <c r="X231" s="1050">
        <v>8865</v>
      </c>
      <c r="Y231" s="1048">
        <v>8865</v>
      </c>
      <c r="Z231" s="1699">
        <f t="shared" si="465"/>
        <v>1</v>
      </c>
      <c r="AA231" s="1049"/>
      <c r="AB231" s="1050"/>
      <c r="AC231" s="1048"/>
      <c r="AD231" s="1699" t="str">
        <f t="shared" si="466"/>
        <v>-</v>
      </c>
      <c r="AE231" s="1049"/>
      <c r="AF231" s="1050"/>
      <c r="AG231" s="1048"/>
      <c r="AH231" s="1699" t="str">
        <f t="shared" si="467"/>
        <v>-</v>
      </c>
      <c r="AI231" s="1280">
        <f t="shared" si="482"/>
        <v>0</v>
      </c>
      <c r="AJ231" s="1281">
        <f t="shared" si="483"/>
        <v>0</v>
      </c>
      <c r="AK231" s="1281">
        <f t="shared" si="484"/>
        <v>0</v>
      </c>
      <c r="AL231" s="1668" t="str">
        <f t="shared" si="471"/>
        <v>-</v>
      </c>
      <c r="AM231" s="1049"/>
      <c r="AN231" s="1050"/>
      <c r="AO231" s="1048"/>
      <c r="AP231" s="1699" t="str">
        <f t="shared" si="472"/>
        <v>-</v>
      </c>
      <c r="AQ231" s="1049"/>
      <c r="AR231" s="1050"/>
      <c r="AS231" s="1048"/>
      <c r="AT231" s="1699" t="str">
        <f t="shared" si="473"/>
        <v>-</v>
      </c>
      <c r="AU231" s="1049"/>
      <c r="AV231" s="1050"/>
      <c r="AW231" s="1048"/>
      <c r="AX231" s="1699" t="str">
        <f t="shared" si="474"/>
        <v>-</v>
      </c>
      <c r="AY231" s="442"/>
    </row>
    <row r="232" spans="1:51" s="449" customFormat="1">
      <c r="A232" s="483">
        <f t="shared" si="475"/>
        <v>63</v>
      </c>
      <c r="B232" s="1213">
        <v>7</v>
      </c>
      <c r="C232" s="1063" t="s">
        <v>1286</v>
      </c>
      <c r="D232" s="862" t="s">
        <v>1284</v>
      </c>
      <c r="E232" s="1064" t="s">
        <v>1257</v>
      </c>
      <c r="F232" s="863" t="s">
        <v>1336</v>
      </c>
      <c r="G232" s="1280">
        <f t="shared" si="476"/>
        <v>0</v>
      </c>
      <c r="H232" s="1281">
        <f t="shared" si="477"/>
        <v>598</v>
      </c>
      <c r="I232" s="1281">
        <f t="shared" si="478"/>
        <v>598</v>
      </c>
      <c r="J232" s="1668">
        <f t="shared" si="458"/>
        <v>1</v>
      </c>
      <c r="K232" s="1280">
        <f t="shared" si="479"/>
        <v>0</v>
      </c>
      <c r="L232" s="1281">
        <f t="shared" si="480"/>
        <v>598</v>
      </c>
      <c r="M232" s="1281">
        <f t="shared" si="481"/>
        <v>598</v>
      </c>
      <c r="N232" s="1668">
        <f t="shared" si="462"/>
        <v>1</v>
      </c>
      <c r="O232" s="1047"/>
      <c r="P232" s="1048"/>
      <c r="Q232" s="1048"/>
      <c r="R232" s="1699" t="str">
        <f t="shared" si="463"/>
        <v>-</v>
      </c>
      <c r="S232" s="1049"/>
      <c r="T232" s="1050"/>
      <c r="U232" s="1048"/>
      <c r="V232" s="1699" t="str">
        <f t="shared" si="464"/>
        <v>-</v>
      </c>
      <c r="W232" s="1049"/>
      <c r="X232" s="1050">
        <v>598</v>
      </c>
      <c r="Y232" s="1048">
        <v>598</v>
      </c>
      <c r="Z232" s="1699">
        <f t="shared" si="465"/>
        <v>1</v>
      </c>
      <c r="AA232" s="1049"/>
      <c r="AB232" s="1050"/>
      <c r="AC232" s="1048"/>
      <c r="AD232" s="1699" t="str">
        <f t="shared" si="466"/>
        <v>-</v>
      </c>
      <c r="AE232" s="1049"/>
      <c r="AF232" s="1050"/>
      <c r="AG232" s="1048"/>
      <c r="AH232" s="1699" t="str">
        <f t="shared" si="467"/>
        <v>-</v>
      </c>
      <c r="AI232" s="1280">
        <f t="shared" si="482"/>
        <v>0</v>
      </c>
      <c r="AJ232" s="1281">
        <f t="shared" si="483"/>
        <v>0</v>
      </c>
      <c r="AK232" s="1281">
        <f t="shared" si="484"/>
        <v>0</v>
      </c>
      <c r="AL232" s="1668" t="str">
        <f t="shared" si="471"/>
        <v>-</v>
      </c>
      <c r="AM232" s="1049"/>
      <c r="AN232" s="1050"/>
      <c r="AO232" s="1048"/>
      <c r="AP232" s="1699" t="str">
        <f t="shared" si="472"/>
        <v>-</v>
      </c>
      <c r="AQ232" s="1049"/>
      <c r="AR232" s="1050"/>
      <c r="AS232" s="1048"/>
      <c r="AT232" s="1699" t="str">
        <f t="shared" si="473"/>
        <v>-</v>
      </c>
      <c r="AU232" s="1049"/>
      <c r="AV232" s="1050"/>
      <c r="AW232" s="1048"/>
      <c r="AX232" s="1699" t="str">
        <f t="shared" si="474"/>
        <v>-</v>
      </c>
      <c r="AY232" s="442"/>
    </row>
    <row r="233" spans="1:51" s="449" customFormat="1">
      <c r="A233" s="483">
        <f t="shared" si="475"/>
        <v>64</v>
      </c>
      <c r="B233" s="1213">
        <v>7</v>
      </c>
      <c r="C233" s="1063" t="s">
        <v>1291</v>
      </c>
      <c r="D233" s="862" t="s">
        <v>1338</v>
      </c>
      <c r="E233" s="1064" t="s">
        <v>1257</v>
      </c>
      <c r="F233" s="863" t="s">
        <v>1337</v>
      </c>
      <c r="G233" s="1280">
        <f t="shared" si="476"/>
        <v>0</v>
      </c>
      <c r="H233" s="1281">
        <f t="shared" si="477"/>
        <v>167957</v>
      </c>
      <c r="I233" s="1281">
        <f t="shared" si="478"/>
        <v>167957</v>
      </c>
      <c r="J233" s="1668">
        <f t="shared" si="458"/>
        <v>1</v>
      </c>
      <c r="K233" s="1280">
        <f t="shared" si="479"/>
        <v>0</v>
      </c>
      <c r="L233" s="1281">
        <f t="shared" si="480"/>
        <v>13339</v>
      </c>
      <c r="M233" s="1281">
        <f t="shared" si="481"/>
        <v>13339</v>
      </c>
      <c r="N233" s="1668">
        <f t="shared" si="462"/>
        <v>1</v>
      </c>
      <c r="O233" s="1047"/>
      <c r="P233" s="1048"/>
      <c r="Q233" s="1048"/>
      <c r="R233" s="1699" t="str">
        <f t="shared" si="463"/>
        <v>-</v>
      </c>
      <c r="S233" s="1049"/>
      <c r="T233" s="1050"/>
      <c r="U233" s="1048"/>
      <c r="V233" s="1699" t="str">
        <f t="shared" si="464"/>
        <v>-</v>
      </c>
      <c r="W233" s="1049"/>
      <c r="X233" s="1050">
        <v>13339</v>
      </c>
      <c r="Y233" s="1048">
        <v>13339</v>
      </c>
      <c r="Z233" s="1699">
        <f t="shared" si="465"/>
        <v>1</v>
      </c>
      <c r="AA233" s="1049"/>
      <c r="AB233" s="1050"/>
      <c r="AC233" s="1048"/>
      <c r="AD233" s="1699" t="str">
        <f t="shared" si="466"/>
        <v>-</v>
      </c>
      <c r="AE233" s="1049"/>
      <c r="AF233" s="1050"/>
      <c r="AG233" s="1048"/>
      <c r="AH233" s="1699" t="str">
        <f t="shared" si="467"/>
        <v>-</v>
      </c>
      <c r="AI233" s="1280">
        <f t="shared" si="482"/>
        <v>0</v>
      </c>
      <c r="AJ233" s="1281">
        <f t="shared" si="483"/>
        <v>154618</v>
      </c>
      <c r="AK233" s="1281">
        <f t="shared" si="484"/>
        <v>154618</v>
      </c>
      <c r="AL233" s="1668">
        <f t="shared" si="471"/>
        <v>1</v>
      </c>
      <c r="AM233" s="1049"/>
      <c r="AN233" s="1050"/>
      <c r="AO233" s="1048"/>
      <c r="AP233" s="1699" t="str">
        <f t="shared" si="472"/>
        <v>-</v>
      </c>
      <c r="AQ233" s="1049"/>
      <c r="AR233" s="1050">
        <f>159300-4682</f>
        <v>154618</v>
      </c>
      <c r="AS233" s="1048">
        <f>159300-4682</f>
        <v>154618</v>
      </c>
      <c r="AT233" s="1699">
        <f t="shared" si="473"/>
        <v>1</v>
      </c>
      <c r="AU233" s="1049"/>
      <c r="AV233" s="1050"/>
      <c r="AW233" s="1048"/>
      <c r="AX233" s="1699" t="str">
        <f t="shared" si="474"/>
        <v>-</v>
      </c>
      <c r="AY233" s="442"/>
    </row>
    <row r="234" spans="1:51" s="449" customFormat="1">
      <c r="A234" s="483">
        <f t="shared" si="475"/>
        <v>65</v>
      </c>
      <c r="B234" s="1213">
        <v>7</v>
      </c>
      <c r="C234" s="1063" t="s">
        <v>1339</v>
      </c>
      <c r="D234" s="862" t="s">
        <v>1340</v>
      </c>
      <c r="E234" s="1064" t="s">
        <v>1257</v>
      </c>
      <c r="F234" s="863" t="s">
        <v>1341</v>
      </c>
      <c r="G234" s="1280">
        <f t="shared" ref="G234:G242" si="485">+K234+AI234</f>
        <v>0</v>
      </c>
      <c r="H234" s="1281">
        <f t="shared" ref="H234:H242" si="486">+L234+AJ234</f>
        <v>84282</v>
      </c>
      <c r="I234" s="1281">
        <f t="shared" ref="I234:I242" si="487">+M234+AK234</f>
        <v>84282</v>
      </c>
      <c r="J234" s="1668">
        <f t="shared" ref="J234:J253" si="488">IF(ISERROR(I234/H234),"-",I234/H234)</f>
        <v>1</v>
      </c>
      <c r="K234" s="1280">
        <f t="shared" ref="K234:K242" si="489">+O234+S234+W234+AA234+AE234</f>
        <v>0</v>
      </c>
      <c r="L234" s="1281">
        <f t="shared" ref="L234:L242" si="490">+P234+T234+X234+AB234+AF234</f>
        <v>84238</v>
      </c>
      <c r="M234" s="1281">
        <f t="shared" ref="M234:M242" si="491">+Q234+U234+Y234+AC234+AG234</f>
        <v>84238</v>
      </c>
      <c r="N234" s="1668">
        <f t="shared" ref="N234:N253" si="492">IF(ISERROR(M234/L234),"-",M234/L234)</f>
        <v>1</v>
      </c>
      <c r="O234" s="1047"/>
      <c r="P234" s="1048">
        <v>28882</v>
      </c>
      <c r="Q234" s="1048">
        <v>28882</v>
      </c>
      <c r="R234" s="1699">
        <f t="shared" ref="R234:R253" si="493">IF(ISERROR(Q234/P234),"-",Q234/P234)</f>
        <v>1</v>
      </c>
      <c r="S234" s="1049"/>
      <c r="T234" s="1050">
        <v>5061</v>
      </c>
      <c r="U234" s="1048">
        <v>5061</v>
      </c>
      <c r="V234" s="1699">
        <f t="shared" ref="V234:V253" si="494">IF(ISERROR(U234/T234),"-",U234/T234)</f>
        <v>1</v>
      </c>
      <c r="W234" s="1049"/>
      <c r="X234" s="1050">
        <v>50295</v>
      </c>
      <c r="Y234" s="1048">
        <v>50295</v>
      </c>
      <c r="Z234" s="1699">
        <f t="shared" ref="Z234:Z253" si="495">IF(ISERROR(Y234/X234),"-",Y234/X234)</f>
        <v>1</v>
      </c>
      <c r="AA234" s="1049"/>
      <c r="AB234" s="1050"/>
      <c r="AC234" s="1048"/>
      <c r="AD234" s="1699" t="str">
        <f t="shared" ref="AD234:AD253" si="496">IF(ISERROR(AC234/AB234),"-",AC234/AB234)</f>
        <v>-</v>
      </c>
      <c r="AE234" s="1049"/>
      <c r="AF234" s="1050"/>
      <c r="AG234" s="1048"/>
      <c r="AH234" s="1699" t="str">
        <f t="shared" ref="AH234:AH253" si="497">IF(ISERROR(AG234/AF234),"-",AG234/AF234)</f>
        <v>-</v>
      </c>
      <c r="AI234" s="1280">
        <f t="shared" ref="AI234:AI242" si="498">+AM234+AQ234+AU234</f>
        <v>0</v>
      </c>
      <c r="AJ234" s="1281">
        <f t="shared" ref="AJ234:AJ242" si="499">+AN234+AR234+AV234</f>
        <v>44</v>
      </c>
      <c r="AK234" s="1281">
        <f t="shared" ref="AK234:AK242" si="500">+AO234+AS234+AW234</f>
        <v>44</v>
      </c>
      <c r="AL234" s="1668">
        <f t="shared" ref="AL234:AL253" si="501">IF(ISERROR(AK234/AJ234),"-",AK234/AJ234)</f>
        <v>1</v>
      </c>
      <c r="AM234" s="1049"/>
      <c r="AN234" s="1050">
        <v>44</v>
      </c>
      <c r="AO234" s="1048">
        <v>44</v>
      </c>
      <c r="AP234" s="1699">
        <f t="shared" ref="AP234:AP253" si="502">IF(ISERROR(AO234/AN234),"-",AO234/AN234)</f>
        <v>1</v>
      </c>
      <c r="AQ234" s="1049"/>
      <c r="AR234" s="1050"/>
      <c r="AS234" s="1048"/>
      <c r="AT234" s="1699" t="str">
        <f t="shared" ref="AT234:AT253" si="503">IF(ISERROR(AS234/AR234),"-",AS234/AR234)</f>
        <v>-</v>
      </c>
      <c r="AU234" s="1049"/>
      <c r="AV234" s="1050"/>
      <c r="AW234" s="1048"/>
      <c r="AX234" s="1699" t="str">
        <f t="shared" ref="AX234:AX253" si="504">IF(ISERROR(AW234/AV234),"-",AW234/AV234)</f>
        <v>-</v>
      </c>
      <c r="AY234" s="442"/>
    </row>
    <row r="235" spans="1:51" s="449" customFormat="1">
      <c r="A235" s="483">
        <f t="shared" si="475"/>
        <v>66</v>
      </c>
      <c r="B235" s="1213">
        <v>7</v>
      </c>
      <c r="C235" s="1063" t="s">
        <v>1342</v>
      </c>
      <c r="D235" s="862" t="s">
        <v>1343</v>
      </c>
      <c r="E235" s="1064" t="s">
        <v>1257</v>
      </c>
      <c r="F235" s="863" t="s">
        <v>1348</v>
      </c>
      <c r="G235" s="1280">
        <f t="shared" si="485"/>
        <v>0</v>
      </c>
      <c r="H235" s="1281">
        <f t="shared" si="486"/>
        <v>44228</v>
      </c>
      <c r="I235" s="1281">
        <f t="shared" si="487"/>
        <v>44228</v>
      </c>
      <c r="J235" s="1668">
        <f t="shared" si="488"/>
        <v>1</v>
      </c>
      <c r="K235" s="1280">
        <f t="shared" si="489"/>
        <v>0</v>
      </c>
      <c r="L235" s="1281">
        <f t="shared" si="490"/>
        <v>44228</v>
      </c>
      <c r="M235" s="1281">
        <f t="shared" si="491"/>
        <v>44228</v>
      </c>
      <c r="N235" s="1668">
        <f t="shared" si="492"/>
        <v>1</v>
      </c>
      <c r="O235" s="1047"/>
      <c r="P235" s="1048">
        <v>24578</v>
      </c>
      <c r="Q235" s="1048">
        <v>24578</v>
      </c>
      <c r="R235" s="1699">
        <f t="shared" si="493"/>
        <v>1</v>
      </c>
      <c r="S235" s="1049"/>
      <c r="T235" s="1050">
        <v>4321</v>
      </c>
      <c r="U235" s="1048">
        <v>4321</v>
      </c>
      <c r="V235" s="1699">
        <f t="shared" si="494"/>
        <v>1</v>
      </c>
      <c r="W235" s="1049"/>
      <c r="X235" s="1050">
        <v>7829</v>
      </c>
      <c r="Y235" s="1048">
        <v>7829</v>
      </c>
      <c r="Z235" s="1699">
        <f t="shared" si="495"/>
        <v>1</v>
      </c>
      <c r="AA235" s="1049"/>
      <c r="AB235" s="1050"/>
      <c r="AC235" s="1048"/>
      <c r="AD235" s="1699" t="str">
        <f t="shared" si="496"/>
        <v>-</v>
      </c>
      <c r="AE235" s="1049"/>
      <c r="AF235" s="1050">
        <v>7500</v>
      </c>
      <c r="AG235" s="1048">
        <v>7500</v>
      </c>
      <c r="AH235" s="1699">
        <f t="shared" si="497"/>
        <v>1</v>
      </c>
      <c r="AI235" s="1280">
        <f t="shared" si="498"/>
        <v>0</v>
      </c>
      <c r="AJ235" s="1281">
        <f t="shared" si="499"/>
        <v>0</v>
      </c>
      <c r="AK235" s="1281">
        <f t="shared" si="500"/>
        <v>0</v>
      </c>
      <c r="AL235" s="1668" t="str">
        <f t="shared" si="501"/>
        <v>-</v>
      </c>
      <c r="AM235" s="1049"/>
      <c r="AN235" s="1050"/>
      <c r="AO235" s="1048"/>
      <c r="AP235" s="1699" t="str">
        <f t="shared" si="502"/>
        <v>-</v>
      </c>
      <c r="AQ235" s="1049"/>
      <c r="AR235" s="1050"/>
      <c r="AS235" s="1048"/>
      <c r="AT235" s="1699" t="str">
        <f t="shared" si="503"/>
        <v>-</v>
      </c>
      <c r="AU235" s="1049"/>
      <c r="AV235" s="1050"/>
      <c r="AW235" s="1048"/>
      <c r="AX235" s="1699" t="str">
        <f t="shared" si="504"/>
        <v>-</v>
      </c>
      <c r="AY235" s="442"/>
    </row>
    <row r="236" spans="1:51" s="449" customFormat="1">
      <c r="A236" s="483">
        <f t="shared" si="475"/>
        <v>67</v>
      </c>
      <c r="B236" s="1213">
        <v>7</v>
      </c>
      <c r="C236" s="1063" t="s">
        <v>1344</v>
      </c>
      <c r="D236" s="862" t="s">
        <v>1345</v>
      </c>
      <c r="E236" s="1064" t="s">
        <v>1346</v>
      </c>
      <c r="F236" s="863" t="s">
        <v>1347</v>
      </c>
      <c r="G236" s="1280">
        <f t="shared" si="485"/>
        <v>0</v>
      </c>
      <c r="H236" s="1281">
        <f t="shared" si="486"/>
        <v>53034</v>
      </c>
      <c r="I236" s="1281">
        <f t="shared" si="487"/>
        <v>53034</v>
      </c>
      <c r="J236" s="1668">
        <f t="shared" si="488"/>
        <v>1</v>
      </c>
      <c r="K236" s="1280">
        <f t="shared" si="489"/>
        <v>0</v>
      </c>
      <c r="L236" s="1281">
        <f t="shared" si="490"/>
        <v>51386</v>
      </c>
      <c r="M236" s="1281">
        <f t="shared" si="491"/>
        <v>51386</v>
      </c>
      <c r="N236" s="1668">
        <f t="shared" si="492"/>
        <v>1</v>
      </c>
      <c r="O236" s="1047"/>
      <c r="P236" s="1048">
        <v>22038</v>
      </c>
      <c r="Q236" s="1048">
        <v>22038</v>
      </c>
      <c r="R236" s="1699">
        <f t="shared" si="493"/>
        <v>1</v>
      </c>
      <c r="S236" s="1049"/>
      <c r="T236" s="1050">
        <v>4002</v>
      </c>
      <c r="U236" s="1048">
        <v>4002</v>
      </c>
      <c r="V236" s="1699">
        <f t="shared" si="494"/>
        <v>1</v>
      </c>
      <c r="W236" s="1049"/>
      <c r="X236" s="1050">
        <v>24746</v>
      </c>
      <c r="Y236" s="1048">
        <v>24746</v>
      </c>
      <c r="Z236" s="1699">
        <f t="shared" si="495"/>
        <v>1</v>
      </c>
      <c r="AA236" s="1049"/>
      <c r="AB236" s="1050"/>
      <c r="AC236" s="1048"/>
      <c r="AD236" s="1699" t="str">
        <f t="shared" si="496"/>
        <v>-</v>
      </c>
      <c r="AE236" s="1049"/>
      <c r="AF236" s="1050">
        <v>600</v>
      </c>
      <c r="AG236" s="1048">
        <v>600</v>
      </c>
      <c r="AH236" s="1699">
        <f t="shared" si="497"/>
        <v>1</v>
      </c>
      <c r="AI236" s="1280">
        <f t="shared" si="498"/>
        <v>0</v>
      </c>
      <c r="AJ236" s="1281">
        <f t="shared" si="499"/>
        <v>1648</v>
      </c>
      <c r="AK236" s="1281">
        <f t="shared" si="500"/>
        <v>1648</v>
      </c>
      <c r="AL236" s="1668">
        <f t="shared" si="501"/>
        <v>1</v>
      </c>
      <c r="AM236" s="1049"/>
      <c r="AN236" s="1050">
        <v>1140</v>
      </c>
      <c r="AO236" s="1048">
        <v>1140</v>
      </c>
      <c r="AP236" s="1699">
        <f t="shared" si="502"/>
        <v>1</v>
      </c>
      <c r="AQ236" s="1049"/>
      <c r="AR236" s="1050">
        <v>508</v>
      </c>
      <c r="AS236" s="1048">
        <v>508</v>
      </c>
      <c r="AT236" s="1699">
        <f t="shared" si="503"/>
        <v>1</v>
      </c>
      <c r="AU236" s="1049"/>
      <c r="AV236" s="1050"/>
      <c r="AW236" s="1048"/>
      <c r="AX236" s="1699" t="str">
        <f t="shared" si="504"/>
        <v>-</v>
      </c>
      <c r="AY236" s="442"/>
    </row>
    <row r="237" spans="1:51" s="449" customFormat="1">
      <c r="A237" s="483">
        <f t="shared" si="475"/>
        <v>68</v>
      </c>
      <c r="B237" s="1213">
        <v>7</v>
      </c>
      <c r="C237" s="1063" t="s">
        <v>1046</v>
      </c>
      <c r="D237" s="862" t="s">
        <v>1349</v>
      </c>
      <c r="E237" s="1064" t="s">
        <v>1257</v>
      </c>
      <c r="F237" s="863" t="s">
        <v>1350</v>
      </c>
      <c r="G237" s="1280">
        <f t="shared" si="485"/>
        <v>0</v>
      </c>
      <c r="H237" s="1281">
        <f t="shared" si="486"/>
        <v>78175</v>
      </c>
      <c r="I237" s="1281">
        <f t="shared" si="487"/>
        <v>78175</v>
      </c>
      <c r="J237" s="1668">
        <f t="shared" si="488"/>
        <v>1</v>
      </c>
      <c r="K237" s="1280">
        <f t="shared" si="489"/>
        <v>0</v>
      </c>
      <c r="L237" s="1281">
        <f t="shared" si="490"/>
        <v>78175</v>
      </c>
      <c r="M237" s="1281">
        <f t="shared" si="491"/>
        <v>78175</v>
      </c>
      <c r="N237" s="1668">
        <f t="shared" si="492"/>
        <v>1</v>
      </c>
      <c r="O237" s="1047"/>
      <c r="P237" s="1048">
        <v>47004</v>
      </c>
      <c r="Q237" s="1048">
        <v>47004</v>
      </c>
      <c r="R237" s="1699">
        <f t="shared" si="493"/>
        <v>1</v>
      </c>
      <c r="S237" s="1049"/>
      <c r="T237" s="1050">
        <v>7967</v>
      </c>
      <c r="U237" s="1048">
        <v>7967</v>
      </c>
      <c r="V237" s="1699">
        <f t="shared" si="494"/>
        <v>1</v>
      </c>
      <c r="W237" s="1049"/>
      <c r="X237" s="1050">
        <v>23204</v>
      </c>
      <c r="Y237" s="1048">
        <f>23149+55</f>
        <v>23204</v>
      </c>
      <c r="Z237" s="1699">
        <f t="shared" si="495"/>
        <v>1</v>
      </c>
      <c r="AA237" s="1049"/>
      <c r="AB237" s="1050"/>
      <c r="AC237" s="1048"/>
      <c r="AD237" s="1699" t="str">
        <f t="shared" si="496"/>
        <v>-</v>
      </c>
      <c r="AE237" s="1049"/>
      <c r="AF237" s="1050"/>
      <c r="AG237" s="1048"/>
      <c r="AH237" s="1699" t="str">
        <f t="shared" si="497"/>
        <v>-</v>
      </c>
      <c r="AI237" s="1280">
        <f t="shared" si="498"/>
        <v>0</v>
      </c>
      <c r="AJ237" s="1281">
        <f t="shared" si="499"/>
        <v>0</v>
      </c>
      <c r="AK237" s="1281">
        <f t="shared" si="500"/>
        <v>0</v>
      </c>
      <c r="AL237" s="1668" t="str">
        <f t="shared" si="501"/>
        <v>-</v>
      </c>
      <c r="AM237" s="1049"/>
      <c r="AN237" s="1050"/>
      <c r="AO237" s="1048"/>
      <c r="AP237" s="1699" t="str">
        <f t="shared" si="502"/>
        <v>-</v>
      </c>
      <c r="AQ237" s="1049"/>
      <c r="AR237" s="1050"/>
      <c r="AS237" s="1048"/>
      <c r="AT237" s="1699" t="str">
        <f t="shared" si="503"/>
        <v>-</v>
      </c>
      <c r="AU237" s="1049"/>
      <c r="AV237" s="1050"/>
      <c r="AW237" s="1048"/>
      <c r="AX237" s="1699" t="str">
        <f t="shared" si="504"/>
        <v>-</v>
      </c>
      <c r="AY237" s="442"/>
    </row>
    <row r="238" spans="1:51" s="449" customFormat="1">
      <c r="A238" s="483">
        <f t="shared" si="475"/>
        <v>69</v>
      </c>
      <c r="B238" s="1213">
        <v>7</v>
      </c>
      <c r="C238" s="1063" t="s">
        <v>1286</v>
      </c>
      <c r="D238" s="862" t="s">
        <v>1284</v>
      </c>
      <c r="E238" s="1064" t="s">
        <v>1257</v>
      </c>
      <c r="F238" s="863" t="s">
        <v>1351</v>
      </c>
      <c r="G238" s="1280">
        <f t="shared" si="485"/>
        <v>0</v>
      </c>
      <c r="H238" s="1281">
        <f t="shared" si="486"/>
        <v>4572</v>
      </c>
      <c r="I238" s="1281">
        <f t="shared" si="487"/>
        <v>4572</v>
      </c>
      <c r="J238" s="1668">
        <f t="shared" si="488"/>
        <v>1</v>
      </c>
      <c r="K238" s="1280">
        <f t="shared" si="489"/>
        <v>0</v>
      </c>
      <c r="L238" s="1281">
        <f t="shared" si="490"/>
        <v>4572</v>
      </c>
      <c r="M238" s="1281">
        <f t="shared" si="491"/>
        <v>4572</v>
      </c>
      <c r="N238" s="1668">
        <f t="shared" si="492"/>
        <v>1</v>
      </c>
      <c r="O238" s="1047"/>
      <c r="P238" s="1048"/>
      <c r="Q238" s="1048"/>
      <c r="R238" s="1699" t="str">
        <f t="shared" si="493"/>
        <v>-</v>
      </c>
      <c r="S238" s="1049"/>
      <c r="T238" s="1050"/>
      <c r="U238" s="1048"/>
      <c r="V238" s="1699" t="str">
        <f t="shared" si="494"/>
        <v>-</v>
      </c>
      <c r="W238" s="1049"/>
      <c r="X238" s="1050">
        <v>4572</v>
      </c>
      <c r="Y238" s="1048">
        <v>4572</v>
      </c>
      <c r="Z238" s="1699">
        <f t="shared" si="495"/>
        <v>1</v>
      </c>
      <c r="AA238" s="1049"/>
      <c r="AB238" s="1050"/>
      <c r="AC238" s="1048"/>
      <c r="AD238" s="1699" t="str">
        <f t="shared" si="496"/>
        <v>-</v>
      </c>
      <c r="AE238" s="1049"/>
      <c r="AF238" s="1050"/>
      <c r="AG238" s="1048"/>
      <c r="AH238" s="1699" t="str">
        <f t="shared" si="497"/>
        <v>-</v>
      </c>
      <c r="AI238" s="1280">
        <f t="shared" si="498"/>
        <v>0</v>
      </c>
      <c r="AJ238" s="1281">
        <f t="shared" si="499"/>
        <v>0</v>
      </c>
      <c r="AK238" s="1281">
        <f t="shared" si="500"/>
        <v>0</v>
      </c>
      <c r="AL238" s="1668" t="str">
        <f t="shared" si="501"/>
        <v>-</v>
      </c>
      <c r="AM238" s="1049"/>
      <c r="AN238" s="1050"/>
      <c r="AO238" s="1048"/>
      <c r="AP238" s="1699" t="str">
        <f t="shared" si="502"/>
        <v>-</v>
      </c>
      <c r="AQ238" s="1049"/>
      <c r="AR238" s="1050"/>
      <c r="AS238" s="1048"/>
      <c r="AT238" s="1699" t="str">
        <f t="shared" si="503"/>
        <v>-</v>
      </c>
      <c r="AU238" s="1049"/>
      <c r="AV238" s="1050"/>
      <c r="AW238" s="1048"/>
      <c r="AX238" s="1699" t="str">
        <f t="shared" si="504"/>
        <v>-</v>
      </c>
      <c r="AY238" s="442"/>
    </row>
    <row r="239" spans="1:51" s="449" customFormat="1">
      <c r="A239" s="483">
        <f t="shared" si="475"/>
        <v>70</v>
      </c>
      <c r="B239" s="1213">
        <v>7</v>
      </c>
      <c r="C239" s="1063" t="s">
        <v>1352</v>
      </c>
      <c r="D239" s="862" t="s">
        <v>1354</v>
      </c>
      <c r="E239" s="1064" t="s">
        <v>1257</v>
      </c>
      <c r="F239" s="863" t="s">
        <v>1353</v>
      </c>
      <c r="G239" s="1280">
        <f t="shared" si="485"/>
        <v>0</v>
      </c>
      <c r="H239" s="1281">
        <f t="shared" si="486"/>
        <v>3338</v>
      </c>
      <c r="I239" s="1281">
        <f t="shared" si="487"/>
        <v>3338</v>
      </c>
      <c r="J239" s="1668">
        <f t="shared" si="488"/>
        <v>1</v>
      </c>
      <c r="K239" s="1280">
        <f t="shared" si="489"/>
        <v>0</v>
      </c>
      <c r="L239" s="1281">
        <f t="shared" si="490"/>
        <v>3338</v>
      </c>
      <c r="M239" s="1281">
        <f t="shared" si="491"/>
        <v>3338</v>
      </c>
      <c r="N239" s="1668">
        <f t="shared" si="492"/>
        <v>1</v>
      </c>
      <c r="O239" s="1047"/>
      <c r="P239" s="1048"/>
      <c r="Q239" s="1048"/>
      <c r="R239" s="1699" t="str">
        <f t="shared" si="493"/>
        <v>-</v>
      </c>
      <c r="S239" s="1049"/>
      <c r="T239" s="1050"/>
      <c r="U239" s="1048"/>
      <c r="V239" s="1699" t="str">
        <f t="shared" si="494"/>
        <v>-</v>
      </c>
      <c r="W239" s="1049"/>
      <c r="X239" s="1050">
        <v>3338</v>
      </c>
      <c r="Y239" s="1048">
        <v>3338</v>
      </c>
      <c r="Z239" s="1699">
        <f t="shared" si="495"/>
        <v>1</v>
      </c>
      <c r="AA239" s="1049"/>
      <c r="AB239" s="1050"/>
      <c r="AC239" s="1048"/>
      <c r="AD239" s="1699" t="str">
        <f t="shared" si="496"/>
        <v>-</v>
      </c>
      <c r="AE239" s="1049"/>
      <c r="AF239" s="1050"/>
      <c r="AG239" s="1048"/>
      <c r="AH239" s="1699" t="str">
        <f t="shared" si="497"/>
        <v>-</v>
      </c>
      <c r="AI239" s="1280">
        <f t="shared" si="498"/>
        <v>0</v>
      </c>
      <c r="AJ239" s="1281">
        <f t="shared" si="499"/>
        <v>0</v>
      </c>
      <c r="AK239" s="1281">
        <f t="shared" si="500"/>
        <v>0</v>
      </c>
      <c r="AL239" s="1668" t="str">
        <f t="shared" si="501"/>
        <v>-</v>
      </c>
      <c r="AM239" s="1049"/>
      <c r="AN239" s="1050"/>
      <c r="AO239" s="1048"/>
      <c r="AP239" s="1699" t="str">
        <f t="shared" si="502"/>
        <v>-</v>
      </c>
      <c r="AQ239" s="1049"/>
      <c r="AR239" s="1050"/>
      <c r="AS239" s="1048"/>
      <c r="AT239" s="1699" t="str">
        <f t="shared" si="503"/>
        <v>-</v>
      </c>
      <c r="AU239" s="1049"/>
      <c r="AV239" s="1050"/>
      <c r="AW239" s="1048"/>
      <c r="AX239" s="1699" t="str">
        <f t="shared" si="504"/>
        <v>-</v>
      </c>
      <c r="AY239" s="442"/>
    </row>
    <row r="240" spans="1:51" s="449" customFormat="1">
      <c r="A240" s="483">
        <f t="shared" si="475"/>
        <v>71</v>
      </c>
      <c r="B240" s="1213">
        <v>7</v>
      </c>
      <c r="C240" s="1063" t="s">
        <v>1291</v>
      </c>
      <c r="D240" s="862" t="s">
        <v>1292</v>
      </c>
      <c r="E240" s="1064" t="s">
        <v>1257</v>
      </c>
      <c r="F240" s="863" t="s">
        <v>1355</v>
      </c>
      <c r="G240" s="1280">
        <f t="shared" si="485"/>
        <v>0</v>
      </c>
      <c r="H240" s="1281">
        <f t="shared" si="486"/>
        <v>16018</v>
      </c>
      <c r="I240" s="1281">
        <f t="shared" si="487"/>
        <v>16018</v>
      </c>
      <c r="J240" s="1668">
        <f t="shared" si="488"/>
        <v>1</v>
      </c>
      <c r="K240" s="1280">
        <f t="shared" si="489"/>
        <v>0</v>
      </c>
      <c r="L240" s="1281">
        <f t="shared" si="490"/>
        <v>16018</v>
      </c>
      <c r="M240" s="1281">
        <f t="shared" si="491"/>
        <v>16018</v>
      </c>
      <c r="N240" s="1668">
        <f t="shared" si="492"/>
        <v>1</v>
      </c>
      <c r="O240" s="1047"/>
      <c r="P240" s="1048"/>
      <c r="Q240" s="1048"/>
      <c r="R240" s="1699" t="str">
        <f t="shared" si="493"/>
        <v>-</v>
      </c>
      <c r="S240" s="1049"/>
      <c r="T240" s="1050"/>
      <c r="U240" s="1048"/>
      <c r="V240" s="1699" t="str">
        <f t="shared" si="494"/>
        <v>-</v>
      </c>
      <c r="W240" s="1049"/>
      <c r="X240" s="1050">
        <v>16018</v>
      </c>
      <c r="Y240" s="1048">
        <v>16018</v>
      </c>
      <c r="Z240" s="1699">
        <f t="shared" si="495"/>
        <v>1</v>
      </c>
      <c r="AA240" s="1049"/>
      <c r="AB240" s="1050"/>
      <c r="AC240" s="1048"/>
      <c r="AD240" s="1699" t="str">
        <f t="shared" si="496"/>
        <v>-</v>
      </c>
      <c r="AE240" s="1049"/>
      <c r="AF240" s="1050"/>
      <c r="AG240" s="1048"/>
      <c r="AH240" s="1699" t="str">
        <f t="shared" si="497"/>
        <v>-</v>
      </c>
      <c r="AI240" s="1280">
        <f t="shared" si="498"/>
        <v>0</v>
      </c>
      <c r="AJ240" s="1281">
        <f t="shared" si="499"/>
        <v>0</v>
      </c>
      <c r="AK240" s="1281">
        <f t="shared" si="500"/>
        <v>0</v>
      </c>
      <c r="AL240" s="1668" t="str">
        <f t="shared" si="501"/>
        <v>-</v>
      </c>
      <c r="AM240" s="1049"/>
      <c r="AN240" s="1050"/>
      <c r="AO240" s="1048"/>
      <c r="AP240" s="1699" t="str">
        <f t="shared" si="502"/>
        <v>-</v>
      </c>
      <c r="AQ240" s="1049"/>
      <c r="AR240" s="1050"/>
      <c r="AS240" s="1048"/>
      <c r="AT240" s="1699" t="str">
        <f t="shared" si="503"/>
        <v>-</v>
      </c>
      <c r="AU240" s="1049"/>
      <c r="AV240" s="1050"/>
      <c r="AW240" s="1048"/>
      <c r="AX240" s="1699" t="str">
        <f t="shared" si="504"/>
        <v>-</v>
      </c>
      <c r="AY240" s="442"/>
    </row>
    <row r="241" spans="1:54" s="449" customFormat="1">
      <c r="A241" s="483">
        <f t="shared" si="475"/>
        <v>72</v>
      </c>
      <c r="B241" s="1213">
        <v>7</v>
      </c>
      <c r="C241" s="1063" t="s">
        <v>1342</v>
      </c>
      <c r="D241" s="862" t="s">
        <v>1356</v>
      </c>
      <c r="E241" s="1064" t="s">
        <v>1257</v>
      </c>
      <c r="F241" s="863" t="s">
        <v>1357</v>
      </c>
      <c r="G241" s="1280">
        <f t="shared" si="485"/>
        <v>0</v>
      </c>
      <c r="H241" s="1281">
        <f t="shared" si="486"/>
        <v>0</v>
      </c>
      <c r="I241" s="1281">
        <f t="shared" si="487"/>
        <v>0</v>
      </c>
      <c r="J241" s="1668" t="str">
        <f t="shared" si="488"/>
        <v>-</v>
      </c>
      <c r="K241" s="1280">
        <f t="shared" si="489"/>
        <v>0</v>
      </c>
      <c r="L241" s="1281">
        <f t="shared" si="490"/>
        <v>0</v>
      </c>
      <c r="M241" s="1281">
        <f t="shared" si="491"/>
        <v>0</v>
      </c>
      <c r="N241" s="1668" t="str">
        <f t="shared" si="492"/>
        <v>-</v>
      </c>
      <c r="O241" s="1047"/>
      <c r="P241" s="1048"/>
      <c r="Q241" s="1048"/>
      <c r="R241" s="1699" t="str">
        <f t="shared" si="493"/>
        <v>-</v>
      </c>
      <c r="S241" s="1049"/>
      <c r="T241" s="1050"/>
      <c r="U241" s="1048"/>
      <c r="V241" s="1699" t="str">
        <f t="shared" si="494"/>
        <v>-</v>
      </c>
      <c r="W241" s="1049"/>
      <c r="X241" s="1050"/>
      <c r="Y241" s="1048"/>
      <c r="Z241" s="1699" t="str">
        <f t="shared" si="495"/>
        <v>-</v>
      </c>
      <c r="AA241" s="1049"/>
      <c r="AB241" s="1050"/>
      <c r="AC241" s="1048"/>
      <c r="AD241" s="1699" t="str">
        <f t="shared" si="496"/>
        <v>-</v>
      </c>
      <c r="AE241" s="1049"/>
      <c r="AF241" s="1050"/>
      <c r="AG241" s="1048"/>
      <c r="AH241" s="1699" t="str">
        <f t="shared" si="497"/>
        <v>-</v>
      </c>
      <c r="AI241" s="1280">
        <f t="shared" si="498"/>
        <v>0</v>
      </c>
      <c r="AJ241" s="1281">
        <f t="shared" si="499"/>
        <v>0</v>
      </c>
      <c r="AK241" s="1281">
        <f t="shared" si="500"/>
        <v>0</v>
      </c>
      <c r="AL241" s="1668" t="str">
        <f t="shared" si="501"/>
        <v>-</v>
      </c>
      <c r="AM241" s="1049"/>
      <c r="AN241" s="1050"/>
      <c r="AO241" s="1048"/>
      <c r="AP241" s="1699" t="str">
        <f t="shared" si="502"/>
        <v>-</v>
      </c>
      <c r="AQ241" s="1049"/>
      <c r="AR241" s="1050"/>
      <c r="AS241" s="1048"/>
      <c r="AT241" s="1699" t="str">
        <f t="shared" si="503"/>
        <v>-</v>
      </c>
      <c r="AU241" s="1049"/>
      <c r="AV241" s="1050"/>
      <c r="AW241" s="1048"/>
      <c r="AX241" s="1699" t="str">
        <f t="shared" si="504"/>
        <v>-</v>
      </c>
      <c r="AY241" s="442"/>
    </row>
    <row r="242" spans="1:54" s="449" customFormat="1" ht="12.75" thickBot="1">
      <c r="A242" s="483">
        <f t="shared" si="475"/>
        <v>73</v>
      </c>
      <c r="B242" s="1213">
        <v>8</v>
      </c>
      <c r="C242" s="1063" t="s">
        <v>680</v>
      </c>
      <c r="D242" s="862" t="s">
        <v>679</v>
      </c>
      <c r="E242" s="1064" t="s">
        <v>1257</v>
      </c>
      <c r="F242" s="863" t="s">
        <v>644</v>
      </c>
      <c r="G242" s="1280">
        <f t="shared" si="485"/>
        <v>2500</v>
      </c>
      <c r="H242" s="1281">
        <f t="shared" si="486"/>
        <v>1555</v>
      </c>
      <c r="I242" s="1281">
        <f t="shared" si="487"/>
        <v>1555</v>
      </c>
      <c r="J242" s="1668">
        <f t="shared" si="488"/>
        <v>1</v>
      </c>
      <c r="K242" s="1280">
        <f t="shared" si="489"/>
        <v>2500</v>
      </c>
      <c r="L242" s="1281">
        <f t="shared" si="490"/>
        <v>1555</v>
      </c>
      <c r="M242" s="1281">
        <f t="shared" si="491"/>
        <v>1555</v>
      </c>
      <c r="N242" s="1668">
        <f t="shared" si="492"/>
        <v>1</v>
      </c>
      <c r="O242" s="1047"/>
      <c r="P242" s="1048"/>
      <c r="Q242" s="1048"/>
      <c r="R242" s="1699" t="str">
        <f t="shared" si="493"/>
        <v>-</v>
      </c>
      <c r="S242" s="1049"/>
      <c r="T242" s="1050"/>
      <c r="U242" s="1048"/>
      <c r="V242" s="1699" t="str">
        <f t="shared" si="494"/>
        <v>-</v>
      </c>
      <c r="W242" s="1049">
        <v>2500</v>
      </c>
      <c r="X242" s="1050">
        <v>1555</v>
      </c>
      <c r="Y242" s="1048">
        <v>1555</v>
      </c>
      <c r="Z242" s="1699">
        <f t="shared" si="495"/>
        <v>1</v>
      </c>
      <c r="AA242" s="1049"/>
      <c r="AB242" s="1050"/>
      <c r="AC242" s="1048"/>
      <c r="AD242" s="1699" t="str">
        <f t="shared" si="496"/>
        <v>-</v>
      </c>
      <c r="AE242" s="1049"/>
      <c r="AF242" s="1050"/>
      <c r="AG242" s="1048"/>
      <c r="AH242" s="1699" t="str">
        <f t="shared" si="497"/>
        <v>-</v>
      </c>
      <c r="AI242" s="1280">
        <f t="shared" si="498"/>
        <v>0</v>
      </c>
      <c r="AJ242" s="1281">
        <f t="shared" si="499"/>
        <v>0</v>
      </c>
      <c r="AK242" s="1281">
        <f t="shared" si="500"/>
        <v>0</v>
      </c>
      <c r="AL242" s="1668" t="str">
        <f t="shared" si="501"/>
        <v>-</v>
      </c>
      <c r="AM242" s="1049"/>
      <c r="AN242" s="1050"/>
      <c r="AO242" s="1048"/>
      <c r="AP242" s="1699" t="str">
        <f t="shared" si="502"/>
        <v>-</v>
      </c>
      <c r="AQ242" s="1049"/>
      <c r="AR242" s="1050"/>
      <c r="AS242" s="1048"/>
      <c r="AT242" s="1699" t="str">
        <f t="shared" si="503"/>
        <v>-</v>
      </c>
      <c r="AU242" s="1049"/>
      <c r="AV242" s="1050"/>
      <c r="AW242" s="1048"/>
      <c r="AX242" s="1699" t="str">
        <f t="shared" si="504"/>
        <v>-</v>
      </c>
      <c r="AY242" s="442"/>
    </row>
    <row r="243" spans="1:54" ht="12.75" thickBot="1">
      <c r="A243" s="479" t="s">
        <v>596</v>
      </c>
      <c r="B243" s="1771"/>
      <c r="C243" s="1885" t="s">
        <v>411</v>
      </c>
      <c r="D243" s="1886"/>
      <c r="E243" s="1886"/>
      <c r="F243" s="1887"/>
      <c r="G243" s="469">
        <f t="shared" ref="G243" si="505">SUM(G170:G242)</f>
        <v>3308909</v>
      </c>
      <c r="H243" s="470">
        <f t="shared" ref="H243:I243" si="506">SUM(H170:H242)</f>
        <v>5519538</v>
      </c>
      <c r="I243" s="470">
        <f t="shared" si="506"/>
        <v>2032711</v>
      </c>
      <c r="J243" s="1635">
        <f t="shared" si="488"/>
        <v>0.36827556944077566</v>
      </c>
      <c r="K243" s="469">
        <f t="shared" ref="K243:AU243" si="507">SUM(K170:K242)</f>
        <v>3186086</v>
      </c>
      <c r="L243" s="470">
        <f t="shared" ref="L243:M243" si="508">SUM(L170:L242)</f>
        <v>4224675</v>
      </c>
      <c r="M243" s="470">
        <f t="shared" si="508"/>
        <v>1020217</v>
      </c>
      <c r="N243" s="1635">
        <f t="shared" si="492"/>
        <v>0.24149005544805222</v>
      </c>
      <c r="O243" s="469">
        <f t="shared" si="507"/>
        <v>59779</v>
      </c>
      <c r="P243" s="470">
        <f t="shared" ref="P243" si="509">SUM(P170:P242)</f>
        <v>306050</v>
      </c>
      <c r="Q243" s="321">
        <f t="shared" ref="Q243" si="510">SUM(Q170:Q242)</f>
        <v>303189</v>
      </c>
      <c r="R243" s="1638">
        <f t="shared" si="493"/>
        <v>0.99065185427217772</v>
      </c>
      <c r="S243" s="469">
        <f t="shared" si="507"/>
        <v>8859</v>
      </c>
      <c r="T243" s="470">
        <f t="shared" ref="T243:U243" si="511">SUM(T170:T242)</f>
        <v>45507</v>
      </c>
      <c r="U243" s="321">
        <f t="shared" si="511"/>
        <v>45507</v>
      </c>
      <c r="V243" s="1638">
        <f t="shared" si="494"/>
        <v>1</v>
      </c>
      <c r="W243" s="469">
        <f t="shared" si="507"/>
        <v>195031</v>
      </c>
      <c r="X243" s="470">
        <f t="shared" ref="X243:Y243" si="512">SUM(X170:X242)</f>
        <v>615887</v>
      </c>
      <c r="Y243" s="321">
        <f t="shared" si="512"/>
        <v>543183</v>
      </c>
      <c r="Z243" s="1638">
        <f t="shared" si="495"/>
        <v>0.88195237113301628</v>
      </c>
      <c r="AA243" s="469">
        <f t="shared" si="507"/>
        <v>52505</v>
      </c>
      <c r="AB243" s="470">
        <f t="shared" ref="AB243:AC243" si="513">SUM(AB170:AB242)</f>
        <v>43459</v>
      </c>
      <c r="AC243" s="321">
        <f t="shared" si="513"/>
        <v>43161</v>
      </c>
      <c r="AD243" s="1638">
        <f t="shared" si="496"/>
        <v>0.99314296233231325</v>
      </c>
      <c r="AE243" s="469">
        <f t="shared" si="507"/>
        <v>2869912</v>
      </c>
      <c r="AF243" s="470">
        <f t="shared" ref="AF243:AG243" si="514">SUM(AF170:AF242)</f>
        <v>3213772</v>
      </c>
      <c r="AG243" s="321">
        <f t="shared" si="514"/>
        <v>85177</v>
      </c>
      <c r="AH243" s="1638">
        <f t="shared" si="497"/>
        <v>2.6503746998853682E-2</v>
      </c>
      <c r="AI243" s="469">
        <f t="shared" si="507"/>
        <v>122823</v>
      </c>
      <c r="AJ243" s="470">
        <f t="shared" ref="AJ243:AK243" si="515">SUM(AJ170:AJ242)</f>
        <v>1294863</v>
      </c>
      <c r="AK243" s="470">
        <f t="shared" si="515"/>
        <v>1012494</v>
      </c>
      <c r="AL243" s="1635">
        <f t="shared" si="501"/>
        <v>0.78193137034574312</v>
      </c>
      <c r="AM243" s="469">
        <f t="shared" si="507"/>
        <v>103147</v>
      </c>
      <c r="AN243" s="470">
        <f t="shared" ref="AN243:AO243" si="516">SUM(AN170:AN242)</f>
        <v>879656</v>
      </c>
      <c r="AO243" s="321">
        <f t="shared" si="516"/>
        <v>764472</v>
      </c>
      <c r="AP243" s="1638">
        <f t="shared" si="502"/>
        <v>0.86905790445355913</v>
      </c>
      <c r="AQ243" s="469">
        <f t="shared" si="507"/>
        <v>19676</v>
      </c>
      <c r="AR243" s="470">
        <f t="shared" ref="AR243:AS243" si="517">SUM(AR170:AR242)</f>
        <v>415189</v>
      </c>
      <c r="AS243" s="321">
        <f t="shared" si="517"/>
        <v>248004</v>
      </c>
      <c r="AT243" s="1638">
        <f t="shared" si="503"/>
        <v>0.59732796389114351</v>
      </c>
      <c r="AU243" s="469">
        <f t="shared" si="507"/>
        <v>0</v>
      </c>
      <c r="AV243" s="470">
        <f t="shared" ref="AV243:AW243" si="518">SUM(AV170:AV242)</f>
        <v>18</v>
      </c>
      <c r="AW243" s="321">
        <f t="shared" si="518"/>
        <v>18</v>
      </c>
      <c r="AX243" s="1638">
        <f t="shared" si="504"/>
        <v>1</v>
      </c>
      <c r="AY243" s="723"/>
    </row>
    <row r="244" spans="1:54">
      <c r="A244" s="483">
        <f>A242+1</f>
        <v>74</v>
      </c>
      <c r="B244" s="1781">
        <v>9</v>
      </c>
      <c r="C244" s="1059" t="s">
        <v>1039</v>
      </c>
      <c r="D244" s="860" t="s">
        <v>1038</v>
      </c>
      <c r="E244" s="1060" t="s">
        <v>1267</v>
      </c>
      <c r="F244" s="1066" t="s">
        <v>1108</v>
      </c>
      <c r="G244" s="1280">
        <f t="shared" ref="G244:I249" si="519">+K244+AI244</f>
        <v>3283</v>
      </c>
      <c r="H244" s="1281">
        <f t="shared" si="519"/>
        <v>5383</v>
      </c>
      <c r="I244" s="1281">
        <f t="shared" si="519"/>
        <v>5383</v>
      </c>
      <c r="J244" s="1668">
        <f t="shared" si="488"/>
        <v>1</v>
      </c>
      <c r="K244" s="1280">
        <f t="shared" ref="K244:M249" si="520">+O244+S244+W244+AA244+AE244</f>
        <v>3283</v>
      </c>
      <c r="L244" s="1281">
        <f t="shared" si="520"/>
        <v>5383</v>
      </c>
      <c r="M244" s="1281">
        <f t="shared" si="520"/>
        <v>5383</v>
      </c>
      <c r="N244" s="1668">
        <f t="shared" si="492"/>
        <v>1</v>
      </c>
      <c r="O244" s="1047"/>
      <c r="P244" s="1048"/>
      <c r="Q244" s="1048"/>
      <c r="R244" s="1699" t="str">
        <f t="shared" si="493"/>
        <v>-</v>
      </c>
      <c r="S244" s="1047"/>
      <c r="T244" s="1048"/>
      <c r="U244" s="1048"/>
      <c r="V244" s="1699" t="str">
        <f t="shared" si="494"/>
        <v>-</v>
      </c>
      <c r="W244" s="1047"/>
      <c r="X244" s="1048">
        <v>5383</v>
      </c>
      <c r="Y244" s="1048">
        <v>5383</v>
      </c>
      <c r="Z244" s="1699">
        <f t="shared" si="495"/>
        <v>1</v>
      </c>
      <c r="AA244" s="1047">
        <v>3283</v>
      </c>
      <c r="AB244" s="1048">
        <v>0</v>
      </c>
      <c r="AC244" s="1048"/>
      <c r="AD244" s="1699" t="str">
        <f t="shared" si="496"/>
        <v>-</v>
      </c>
      <c r="AE244" s="1047"/>
      <c r="AF244" s="1048"/>
      <c r="AG244" s="1048"/>
      <c r="AH244" s="1699" t="str">
        <f t="shared" si="497"/>
        <v>-</v>
      </c>
      <c r="AI244" s="1280">
        <f t="shared" ref="AI244:AK249" si="521">+AM244+AQ244+AU244</f>
        <v>0</v>
      </c>
      <c r="AJ244" s="1281">
        <f t="shared" si="521"/>
        <v>0</v>
      </c>
      <c r="AK244" s="1281">
        <f t="shared" si="521"/>
        <v>0</v>
      </c>
      <c r="AL244" s="1668" t="str">
        <f t="shared" si="501"/>
        <v>-</v>
      </c>
      <c r="AM244" s="1047"/>
      <c r="AN244" s="1048"/>
      <c r="AO244" s="1048"/>
      <c r="AP244" s="1699" t="str">
        <f t="shared" si="502"/>
        <v>-</v>
      </c>
      <c r="AQ244" s="1047"/>
      <c r="AR244" s="1048"/>
      <c r="AS244" s="1048"/>
      <c r="AT244" s="1699" t="str">
        <f t="shared" si="503"/>
        <v>-</v>
      </c>
      <c r="AU244" s="1047"/>
      <c r="AV244" s="1048"/>
      <c r="AW244" s="1048"/>
      <c r="AX244" s="1699" t="str">
        <f t="shared" si="504"/>
        <v>-</v>
      </c>
      <c r="AY244" s="442"/>
    </row>
    <row r="245" spans="1:54">
      <c r="A245" s="483">
        <f>+A244+1</f>
        <v>75</v>
      </c>
      <c r="B245" s="249">
        <v>10</v>
      </c>
      <c r="C245" s="1062" t="s">
        <v>741</v>
      </c>
      <c r="D245" s="856" t="s">
        <v>742</v>
      </c>
      <c r="E245" s="1061" t="s">
        <v>1257</v>
      </c>
      <c r="F245" s="1067" t="s">
        <v>665</v>
      </c>
      <c r="G245" s="1280">
        <f t="shared" si="519"/>
        <v>0</v>
      </c>
      <c r="H245" s="1281">
        <f t="shared" si="519"/>
        <v>0</v>
      </c>
      <c r="I245" s="1281">
        <f t="shared" si="519"/>
        <v>0</v>
      </c>
      <c r="J245" s="1668" t="str">
        <f t="shared" si="488"/>
        <v>-</v>
      </c>
      <c r="K245" s="1280">
        <f t="shared" si="520"/>
        <v>0</v>
      </c>
      <c r="L245" s="1281">
        <f t="shared" si="520"/>
        <v>0</v>
      </c>
      <c r="M245" s="1281">
        <f t="shared" si="520"/>
        <v>0</v>
      </c>
      <c r="N245" s="1668" t="str">
        <f t="shared" si="492"/>
        <v>-</v>
      </c>
      <c r="O245" s="1047"/>
      <c r="P245" s="1048"/>
      <c r="Q245" s="1048"/>
      <c r="R245" s="1699" t="str">
        <f t="shared" si="493"/>
        <v>-</v>
      </c>
      <c r="S245" s="1049"/>
      <c r="T245" s="1050"/>
      <c r="U245" s="1048"/>
      <c r="V245" s="1699" t="str">
        <f t="shared" si="494"/>
        <v>-</v>
      </c>
      <c r="W245" s="1049"/>
      <c r="X245" s="1050"/>
      <c r="Y245" s="1048"/>
      <c r="Z245" s="1699" t="str">
        <f t="shared" si="495"/>
        <v>-</v>
      </c>
      <c r="AA245" s="1049"/>
      <c r="AB245" s="1050"/>
      <c r="AC245" s="1048"/>
      <c r="AD245" s="1699" t="str">
        <f t="shared" si="496"/>
        <v>-</v>
      </c>
      <c r="AE245" s="1049"/>
      <c r="AF245" s="1050"/>
      <c r="AG245" s="1048"/>
      <c r="AH245" s="1699" t="str">
        <f t="shared" si="497"/>
        <v>-</v>
      </c>
      <c r="AI245" s="1280">
        <f t="shared" si="521"/>
        <v>0</v>
      </c>
      <c r="AJ245" s="1281">
        <f t="shared" si="521"/>
        <v>0</v>
      </c>
      <c r="AK245" s="1281">
        <f t="shared" si="521"/>
        <v>0</v>
      </c>
      <c r="AL245" s="1668" t="str">
        <f t="shared" si="501"/>
        <v>-</v>
      </c>
      <c r="AM245" s="1049"/>
      <c r="AN245" s="1050"/>
      <c r="AO245" s="1048"/>
      <c r="AP245" s="1699" t="str">
        <f t="shared" si="502"/>
        <v>-</v>
      </c>
      <c r="AQ245" s="1049"/>
      <c r="AR245" s="1050"/>
      <c r="AS245" s="1048"/>
      <c r="AT245" s="1699" t="str">
        <f t="shared" si="503"/>
        <v>-</v>
      </c>
      <c r="AU245" s="1049"/>
      <c r="AV245" s="1050"/>
      <c r="AW245" s="1048"/>
      <c r="AX245" s="1699" t="str">
        <f t="shared" si="504"/>
        <v>-</v>
      </c>
      <c r="AY245" s="442"/>
    </row>
    <row r="246" spans="1:54">
      <c r="A246" s="483">
        <f t="shared" si="475"/>
        <v>76</v>
      </c>
      <c r="B246" s="1781">
        <v>10</v>
      </c>
      <c r="C246" s="1059" t="s">
        <v>740</v>
      </c>
      <c r="D246" s="860" t="s">
        <v>1031</v>
      </c>
      <c r="E246" s="1061" t="s">
        <v>1269</v>
      </c>
      <c r="F246" s="1068" t="s">
        <v>664</v>
      </c>
      <c r="G246" s="1280">
        <f t="shared" si="519"/>
        <v>350000</v>
      </c>
      <c r="H246" s="1281">
        <f t="shared" si="519"/>
        <v>4750</v>
      </c>
      <c r="I246" s="1281">
        <f t="shared" si="519"/>
        <v>4750</v>
      </c>
      <c r="J246" s="1668">
        <f t="shared" si="488"/>
        <v>1</v>
      </c>
      <c r="K246" s="1280">
        <f t="shared" si="520"/>
        <v>0</v>
      </c>
      <c r="L246" s="1281">
        <f t="shared" si="520"/>
        <v>0</v>
      </c>
      <c r="M246" s="1281">
        <f t="shared" si="520"/>
        <v>0</v>
      </c>
      <c r="N246" s="1668" t="str">
        <f t="shared" si="492"/>
        <v>-</v>
      </c>
      <c r="O246" s="1047"/>
      <c r="P246" s="1048"/>
      <c r="Q246" s="1048"/>
      <c r="R246" s="1699" t="str">
        <f t="shared" si="493"/>
        <v>-</v>
      </c>
      <c r="S246" s="1049"/>
      <c r="T246" s="1050"/>
      <c r="U246" s="1048"/>
      <c r="V246" s="1699" t="str">
        <f t="shared" si="494"/>
        <v>-</v>
      </c>
      <c r="W246" s="1049"/>
      <c r="X246" s="1050"/>
      <c r="Y246" s="1048"/>
      <c r="Z246" s="1699" t="str">
        <f t="shared" si="495"/>
        <v>-</v>
      </c>
      <c r="AA246" s="1049"/>
      <c r="AB246" s="1050"/>
      <c r="AC246" s="1048"/>
      <c r="AD246" s="1699" t="str">
        <f t="shared" si="496"/>
        <v>-</v>
      </c>
      <c r="AE246" s="1049"/>
      <c r="AF246" s="1050"/>
      <c r="AG246" s="1048"/>
      <c r="AH246" s="1699" t="str">
        <f t="shared" si="497"/>
        <v>-</v>
      </c>
      <c r="AI246" s="1280">
        <f t="shared" si="521"/>
        <v>350000</v>
      </c>
      <c r="AJ246" s="1281">
        <f t="shared" si="521"/>
        <v>4750</v>
      </c>
      <c r="AK246" s="1281">
        <f t="shared" si="521"/>
        <v>4750</v>
      </c>
      <c r="AL246" s="1668">
        <f t="shared" si="501"/>
        <v>1</v>
      </c>
      <c r="AM246" s="1049">
        <v>350000</v>
      </c>
      <c r="AN246" s="1050">
        <v>4750</v>
      </c>
      <c r="AO246" s="1048">
        <v>4750</v>
      </c>
      <c r="AP246" s="1699">
        <f t="shared" si="502"/>
        <v>1</v>
      </c>
      <c r="AQ246" s="1049"/>
      <c r="AR246" s="1050"/>
      <c r="AS246" s="1048"/>
      <c r="AT246" s="1699" t="str">
        <f t="shared" si="503"/>
        <v>-</v>
      </c>
      <c r="AU246" s="1049"/>
      <c r="AV246" s="1050"/>
      <c r="AW246" s="1048"/>
      <c r="AX246" s="1699" t="str">
        <f t="shared" si="504"/>
        <v>-</v>
      </c>
      <c r="AY246" s="442"/>
    </row>
    <row r="247" spans="1:54" s="449" customFormat="1">
      <c r="A247" s="483">
        <f t="shared" ref="A247:A249" si="522">+A246+1</f>
        <v>77</v>
      </c>
      <c r="B247" s="249">
        <v>10</v>
      </c>
      <c r="C247" s="1062" t="s">
        <v>744</v>
      </c>
      <c r="D247" s="856" t="s">
        <v>743</v>
      </c>
      <c r="E247" s="1061" t="s">
        <v>1257</v>
      </c>
      <c r="F247" s="1068" t="s">
        <v>673</v>
      </c>
      <c r="G247" s="1280">
        <f t="shared" si="519"/>
        <v>1200</v>
      </c>
      <c r="H247" s="1281">
        <f t="shared" si="519"/>
        <v>900</v>
      </c>
      <c r="I247" s="1281">
        <f t="shared" si="519"/>
        <v>900</v>
      </c>
      <c r="J247" s="1668">
        <f t="shared" si="488"/>
        <v>1</v>
      </c>
      <c r="K247" s="1280">
        <f t="shared" si="520"/>
        <v>1200</v>
      </c>
      <c r="L247" s="1281">
        <f t="shared" si="520"/>
        <v>900</v>
      </c>
      <c r="M247" s="1281">
        <f t="shared" si="520"/>
        <v>900</v>
      </c>
      <c r="N247" s="1668">
        <f t="shared" si="492"/>
        <v>1</v>
      </c>
      <c r="O247" s="1047"/>
      <c r="P247" s="1048"/>
      <c r="Q247" s="1048"/>
      <c r="R247" s="1699" t="str">
        <f t="shared" si="493"/>
        <v>-</v>
      </c>
      <c r="S247" s="1049"/>
      <c r="T247" s="1050"/>
      <c r="U247" s="1048"/>
      <c r="V247" s="1699" t="str">
        <f t="shared" si="494"/>
        <v>-</v>
      </c>
      <c r="W247" s="1049"/>
      <c r="X247" s="1050"/>
      <c r="Y247" s="1048"/>
      <c r="Z247" s="1699" t="str">
        <f t="shared" si="495"/>
        <v>-</v>
      </c>
      <c r="AA247" s="1049"/>
      <c r="AB247" s="1050"/>
      <c r="AC247" s="1048"/>
      <c r="AD247" s="1699" t="str">
        <f t="shared" si="496"/>
        <v>-</v>
      </c>
      <c r="AE247" s="1049">
        <v>1200</v>
      </c>
      <c r="AF247" s="1050">
        <v>900</v>
      </c>
      <c r="AG247" s="1048">
        <v>900</v>
      </c>
      <c r="AH247" s="1699">
        <f t="shared" si="497"/>
        <v>1</v>
      </c>
      <c r="AI247" s="1280">
        <f t="shared" si="521"/>
        <v>0</v>
      </c>
      <c r="AJ247" s="1281">
        <f t="shared" si="521"/>
        <v>0</v>
      </c>
      <c r="AK247" s="1281">
        <f t="shared" si="521"/>
        <v>0</v>
      </c>
      <c r="AL247" s="1668" t="str">
        <f t="shared" si="501"/>
        <v>-</v>
      </c>
      <c r="AM247" s="1049"/>
      <c r="AN247" s="1050"/>
      <c r="AO247" s="1048"/>
      <c r="AP247" s="1699" t="str">
        <f t="shared" si="502"/>
        <v>-</v>
      </c>
      <c r="AQ247" s="1049"/>
      <c r="AR247" s="1050"/>
      <c r="AS247" s="1048"/>
      <c r="AT247" s="1699" t="str">
        <f t="shared" si="503"/>
        <v>-</v>
      </c>
      <c r="AU247" s="1049"/>
      <c r="AV247" s="1050"/>
      <c r="AW247" s="1048"/>
      <c r="AX247" s="1699" t="str">
        <f t="shared" si="504"/>
        <v>-</v>
      </c>
      <c r="AY247" s="442"/>
      <c r="AZ247" s="259"/>
      <c r="BA247" s="259"/>
      <c r="BB247" s="259"/>
    </row>
    <row r="248" spans="1:54">
      <c r="A248" s="483">
        <f t="shared" si="522"/>
        <v>78</v>
      </c>
      <c r="B248" s="1781">
        <v>10</v>
      </c>
      <c r="C248" s="1059" t="s">
        <v>1044</v>
      </c>
      <c r="D248" s="860" t="s">
        <v>1045</v>
      </c>
      <c r="E248" s="1061" t="s">
        <v>1257</v>
      </c>
      <c r="F248" s="1068" t="s">
        <v>663</v>
      </c>
      <c r="G248" s="1280">
        <f t="shared" si="519"/>
        <v>2000</v>
      </c>
      <c r="H248" s="1281">
        <f t="shared" si="519"/>
        <v>0</v>
      </c>
      <c r="I248" s="1281">
        <f t="shared" si="519"/>
        <v>0</v>
      </c>
      <c r="J248" s="1668" t="str">
        <f t="shared" si="488"/>
        <v>-</v>
      </c>
      <c r="K248" s="1280">
        <f t="shared" si="520"/>
        <v>2000</v>
      </c>
      <c r="L248" s="1281">
        <f t="shared" si="520"/>
        <v>0</v>
      </c>
      <c r="M248" s="1281">
        <f t="shared" si="520"/>
        <v>0</v>
      </c>
      <c r="N248" s="1668" t="str">
        <f t="shared" si="492"/>
        <v>-</v>
      </c>
      <c r="O248" s="1047"/>
      <c r="P248" s="1048"/>
      <c r="Q248" s="1048"/>
      <c r="R248" s="1699" t="str">
        <f t="shared" si="493"/>
        <v>-</v>
      </c>
      <c r="S248" s="1049"/>
      <c r="T248" s="1050"/>
      <c r="U248" s="1048"/>
      <c r="V248" s="1699" t="str">
        <f t="shared" si="494"/>
        <v>-</v>
      </c>
      <c r="W248" s="1049">
        <v>2000</v>
      </c>
      <c r="X248" s="1050">
        <v>0</v>
      </c>
      <c r="Y248" s="1048"/>
      <c r="Z248" s="1699" t="str">
        <f t="shared" si="495"/>
        <v>-</v>
      </c>
      <c r="AA248" s="1049"/>
      <c r="AB248" s="1050"/>
      <c r="AC248" s="1048"/>
      <c r="AD248" s="1699" t="str">
        <f t="shared" si="496"/>
        <v>-</v>
      </c>
      <c r="AE248" s="1049"/>
      <c r="AF248" s="1050"/>
      <c r="AG248" s="1048"/>
      <c r="AH248" s="1699" t="str">
        <f t="shared" si="497"/>
        <v>-</v>
      </c>
      <c r="AI248" s="1280">
        <f t="shared" si="521"/>
        <v>0</v>
      </c>
      <c r="AJ248" s="1281">
        <f t="shared" si="521"/>
        <v>0</v>
      </c>
      <c r="AK248" s="1281">
        <f t="shared" si="521"/>
        <v>0</v>
      </c>
      <c r="AL248" s="1668" t="str">
        <f t="shared" si="501"/>
        <v>-</v>
      </c>
      <c r="AM248" s="1049"/>
      <c r="AN248" s="1050"/>
      <c r="AO248" s="1048"/>
      <c r="AP248" s="1699" t="str">
        <f t="shared" si="502"/>
        <v>-</v>
      </c>
      <c r="AQ248" s="1049"/>
      <c r="AR248" s="1050"/>
      <c r="AS248" s="1048"/>
      <c r="AT248" s="1699" t="str">
        <f t="shared" si="503"/>
        <v>-</v>
      </c>
      <c r="AU248" s="1049"/>
      <c r="AV248" s="1050"/>
      <c r="AW248" s="1048"/>
      <c r="AX248" s="1699" t="str">
        <f t="shared" si="504"/>
        <v>-</v>
      </c>
      <c r="AY248" s="442"/>
    </row>
    <row r="249" spans="1:54" ht="12.75" thickBot="1">
      <c r="A249" s="483">
        <f t="shared" si="522"/>
        <v>79</v>
      </c>
      <c r="B249" s="249">
        <v>9</v>
      </c>
      <c r="C249" s="1062">
        <v>107060</v>
      </c>
      <c r="D249" s="856" t="s">
        <v>2755</v>
      </c>
      <c r="E249" s="1061" t="s">
        <v>1257</v>
      </c>
      <c r="F249" s="1068" t="s">
        <v>695</v>
      </c>
      <c r="G249" s="1280">
        <f t="shared" si="519"/>
        <v>1755</v>
      </c>
      <c r="H249" s="1281">
        <f t="shared" si="519"/>
        <v>275</v>
      </c>
      <c r="I249" s="1281">
        <f t="shared" si="519"/>
        <v>275</v>
      </c>
      <c r="J249" s="1668">
        <f t="shared" si="488"/>
        <v>1</v>
      </c>
      <c r="K249" s="1280">
        <f t="shared" si="520"/>
        <v>1755</v>
      </c>
      <c r="L249" s="1281">
        <f t="shared" si="520"/>
        <v>275</v>
      </c>
      <c r="M249" s="1281">
        <f t="shared" si="520"/>
        <v>275</v>
      </c>
      <c r="N249" s="1668">
        <f t="shared" si="492"/>
        <v>1</v>
      </c>
      <c r="O249" s="1047"/>
      <c r="P249" s="1048"/>
      <c r="Q249" s="1048"/>
      <c r="R249" s="1699" t="str">
        <f t="shared" si="493"/>
        <v>-</v>
      </c>
      <c r="S249" s="1049"/>
      <c r="T249" s="1050"/>
      <c r="U249" s="1048"/>
      <c r="V249" s="1699" t="str">
        <f t="shared" si="494"/>
        <v>-</v>
      </c>
      <c r="W249" s="1049"/>
      <c r="X249" s="1050"/>
      <c r="Y249" s="1048"/>
      <c r="Z249" s="1699" t="str">
        <f t="shared" si="495"/>
        <v>-</v>
      </c>
      <c r="AA249" s="1049">
        <v>1755</v>
      </c>
      <c r="AB249" s="1050">
        <v>0</v>
      </c>
      <c r="AC249" s="1048"/>
      <c r="AD249" s="1699" t="str">
        <f t="shared" si="496"/>
        <v>-</v>
      </c>
      <c r="AE249" s="1049"/>
      <c r="AF249" s="1050">
        <v>275</v>
      </c>
      <c r="AG249" s="1048">
        <v>275</v>
      </c>
      <c r="AH249" s="1699">
        <f t="shared" si="497"/>
        <v>1</v>
      </c>
      <c r="AI249" s="1280">
        <f t="shared" si="521"/>
        <v>0</v>
      </c>
      <c r="AJ249" s="1281">
        <f t="shared" si="521"/>
        <v>0</v>
      </c>
      <c r="AK249" s="1281">
        <f t="shared" si="521"/>
        <v>0</v>
      </c>
      <c r="AL249" s="1668" t="str">
        <f t="shared" si="501"/>
        <v>-</v>
      </c>
      <c r="AM249" s="1049"/>
      <c r="AN249" s="1050"/>
      <c r="AO249" s="1048"/>
      <c r="AP249" s="1699" t="str">
        <f t="shared" si="502"/>
        <v>-</v>
      </c>
      <c r="AQ249" s="1049"/>
      <c r="AR249" s="1050"/>
      <c r="AS249" s="1048"/>
      <c r="AT249" s="1699" t="str">
        <f t="shared" si="503"/>
        <v>-</v>
      </c>
      <c r="AU249" s="1049"/>
      <c r="AV249" s="1050"/>
      <c r="AW249" s="1048"/>
      <c r="AX249" s="1699" t="str">
        <f t="shared" si="504"/>
        <v>-</v>
      </c>
      <c r="AY249" s="442"/>
    </row>
    <row r="250" spans="1:54" ht="12.75" thickBot="1">
      <c r="A250" s="479" t="s">
        <v>597</v>
      </c>
      <c r="B250" s="1771"/>
      <c r="C250" s="1885" t="s">
        <v>412</v>
      </c>
      <c r="D250" s="1886"/>
      <c r="E250" s="1886"/>
      <c r="F250" s="1887"/>
      <c r="G250" s="469">
        <f t="shared" ref="G250" si="523">SUM(G244:G249)</f>
        <v>358238</v>
      </c>
      <c r="H250" s="470">
        <f t="shared" ref="H250:I250" si="524">SUM(H244:H249)</f>
        <v>11308</v>
      </c>
      <c r="I250" s="470">
        <f t="shared" si="524"/>
        <v>11308</v>
      </c>
      <c r="J250" s="1635">
        <f t="shared" si="488"/>
        <v>1</v>
      </c>
      <c r="K250" s="469">
        <f t="shared" ref="K250:AU250" si="525">SUM(K244:K249)</f>
        <v>8238</v>
      </c>
      <c r="L250" s="470">
        <f t="shared" ref="L250:M250" si="526">SUM(L244:L249)</f>
        <v>6558</v>
      </c>
      <c r="M250" s="470">
        <f t="shared" si="526"/>
        <v>6558</v>
      </c>
      <c r="N250" s="1635">
        <f t="shared" si="492"/>
        <v>1</v>
      </c>
      <c r="O250" s="469">
        <f t="shared" si="525"/>
        <v>0</v>
      </c>
      <c r="P250" s="470">
        <f t="shared" ref="P250" si="527">SUM(P244:P249)</f>
        <v>0</v>
      </c>
      <c r="Q250" s="321">
        <f t="shared" ref="Q250" si="528">SUM(Q244:Q249)</f>
        <v>0</v>
      </c>
      <c r="R250" s="1638" t="str">
        <f t="shared" si="493"/>
        <v>-</v>
      </c>
      <c r="S250" s="469">
        <f t="shared" si="525"/>
        <v>0</v>
      </c>
      <c r="T250" s="470">
        <f t="shared" ref="T250:U250" si="529">SUM(T244:T249)</f>
        <v>0</v>
      </c>
      <c r="U250" s="321">
        <f t="shared" si="529"/>
        <v>0</v>
      </c>
      <c r="V250" s="1638" t="str">
        <f t="shared" si="494"/>
        <v>-</v>
      </c>
      <c r="W250" s="469">
        <f t="shared" si="525"/>
        <v>2000</v>
      </c>
      <c r="X250" s="470">
        <f t="shared" ref="X250:Y250" si="530">SUM(X244:X249)</f>
        <v>5383</v>
      </c>
      <c r="Y250" s="321">
        <f t="shared" si="530"/>
        <v>5383</v>
      </c>
      <c r="Z250" s="1638">
        <f t="shared" si="495"/>
        <v>1</v>
      </c>
      <c r="AA250" s="469">
        <f t="shared" si="525"/>
        <v>5038</v>
      </c>
      <c r="AB250" s="470">
        <f t="shared" ref="AB250:AC250" si="531">SUM(AB244:AB249)</f>
        <v>0</v>
      </c>
      <c r="AC250" s="321">
        <f t="shared" si="531"/>
        <v>0</v>
      </c>
      <c r="AD250" s="1638" t="str">
        <f t="shared" si="496"/>
        <v>-</v>
      </c>
      <c r="AE250" s="469">
        <f t="shared" si="525"/>
        <v>1200</v>
      </c>
      <c r="AF250" s="470">
        <f t="shared" ref="AF250:AG250" si="532">SUM(AF244:AF249)</f>
        <v>1175</v>
      </c>
      <c r="AG250" s="321">
        <f t="shared" si="532"/>
        <v>1175</v>
      </c>
      <c r="AH250" s="1638">
        <f t="shared" si="497"/>
        <v>1</v>
      </c>
      <c r="AI250" s="469">
        <f t="shared" si="525"/>
        <v>350000</v>
      </c>
      <c r="AJ250" s="470">
        <f t="shared" ref="AJ250:AK250" si="533">SUM(AJ244:AJ249)</f>
        <v>4750</v>
      </c>
      <c r="AK250" s="470">
        <f t="shared" si="533"/>
        <v>4750</v>
      </c>
      <c r="AL250" s="1635">
        <f t="shared" si="501"/>
        <v>1</v>
      </c>
      <c r="AM250" s="469">
        <f t="shared" si="525"/>
        <v>350000</v>
      </c>
      <c r="AN250" s="470">
        <f t="shared" ref="AN250:AO250" si="534">SUM(AN244:AN249)</f>
        <v>4750</v>
      </c>
      <c r="AO250" s="321">
        <f t="shared" si="534"/>
        <v>4750</v>
      </c>
      <c r="AP250" s="1638">
        <f t="shared" si="502"/>
        <v>1</v>
      </c>
      <c r="AQ250" s="469">
        <f t="shared" si="525"/>
        <v>0</v>
      </c>
      <c r="AR250" s="470">
        <f t="shared" ref="AR250:AS250" si="535">SUM(AR244:AR249)</f>
        <v>0</v>
      </c>
      <c r="AS250" s="321">
        <f t="shared" si="535"/>
        <v>0</v>
      </c>
      <c r="AT250" s="1638" t="str">
        <f t="shared" si="503"/>
        <v>-</v>
      </c>
      <c r="AU250" s="469">
        <f t="shared" si="525"/>
        <v>0</v>
      </c>
      <c r="AV250" s="470">
        <f t="shared" ref="AV250:AW250" si="536">SUM(AV244:AV249)</f>
        <v>0</v>
      </c>
      <c r="AW250" s="321">
        <f t="shared" si="536"/>
        <v>0</v>
      </c>
      <c r="AX250" s="1638" t="str">
        <f t="shared" si="504"/>
        <v>-</v>
      </c>
      <c r="AY250" s="723"/>
    </row>
    <row r="251" spans="1:54" ht="12.75" customHeight="1" thickBot="1">
      <c r="A251" s="483">
        <f>+A249+1</f>
        <v>80</v>
      </c>
      <c r="B251" s="249">
        <v>11</v>
      </c>
      <c r="C251" s="1062" t="s">
        <v>19</v>
      </c>
      <c r="D251" s="1069" t="s">
        <v>19</v>
      </c>
      <c r="E251" s="1060" t="s">
        <v>19</v>
      </c>
      <c r="F251" s="1069" t="s">
        <v>19</v>
      </c>
      <c r="G251" s="1276">
        <f>+K251+AI251</f>
        <v>0</v>
      </c>
      <c r="H251" s="1277">
        <f>+L251+AJ251</f>
        <v>0</v>
      </c>
      <c r="I251" s="1277">
        <f>+M251+AK251</f>
        <v>0</v>
      </c>
      <c r="J251" s="1689" t="str">
        <f t="shared" si="488"/>
        <v>-</v>
      </c>
      <c r="K251" s="1276">
        <f>+O251+S251+W251+AA251+AE251</f>
        <v>0</v>
      </c>
      <c r="L251" s="1277">
        <f>+P251+T251+X251+AB251+AF251</f>
        <v>0</v>
      </c>
      <c r="M251" s="1277">
        <f>+Q251+U251+Y251+AC251+AG251</f>
        <v>0</v>
      </c>
      <c r="N251" s="1689" t="str">
        <f t="shared" si="492"/>
        <v>-</v>
      </c>
      <c r="O251" s="1047"/>
      <c r="P251" s="1048"/>
      <c r="Q251" s="1048"/>
      <c r="R251" s="1699" t="str">
        <f t="shared" si="493"/>
        <v>-</v>
      </c>
      <c r="S251" s="1049"/>
      <c r="T251" s="1050"/>
      <c r="U251" s="1048"/>
      <c r="V251" s="1699" t="str">
        <f t="shared" si="494"/>
        <v>-</v>
      </c>
      <c r="W251" s="1049"/>
      <c r="X251" s="1050"/>
      <c r="Y251" s="1048"/>
      <c r="Z251" s="1699" t="str">
        <f t="shared" si="495"/>
        <v>-</v>
      </c>
      <c r="AA251" s="1049"/>
      <c r="AB251" s="1050"/>
      <c r="AC251" s="1048"/>
      <c r="AD251" s="1699" t="str">
        <f t="shared" si="496"/>
        <v>-</v>
      </c>
      <c r="AE251" s="1049"/>
      <c r="AF251" s="1050"/>
      <c r="AG251" s="1048"/>
      <c r="AH251" s="1699" t="str">
        <f t="shared" si="497"/>
        <v>-</v>
      </c>
      <c r="AI251" s="1276">
        <f>+AM251+AQ251+AU251</f>
        <v>0</v>
      </c>
      <c r="AJ251" s="1277">
        <f>+AN251+AR251+AV251</f>
        <v>0</v>
      </c>
      <c r="AK251" s="1277">
        <f>+AO251+AS251+AW251</f>
        <v>0</v>
      </c>
      <c r="AL251" s="1689" t="str">
        <f t="shared" si="501"/>
        <v>-</v>
      </c>
      <c r="AM251" s="1049"/>
      <c r="AN251" s="1050"/>
      <c r="AO251" s="1048"/>
      <c r="AP251" s="1699" t="str">
        <f t="shared" si="502"/>
        <v>-</v>
      </c>
      <c r="AQ251" s="1049"/>
      <c r="AR251" s="1050"/>
      <c r="AS251" s="1048"/>
      <c r="AT251" s="1699" t="str">
        <f t="shared" si="503"/>
        <v>-</v>
      </c>
      <c r="AU251" s="1049"/>
      <c r="AV251" s="1050"/>
      <c r="AW251" s="1048"/>
      <c r="AX251" s="1699" t="str">
        <f t="shared" si="504"/>
        <v>-</v>
      </c>
      <c r="AY251" s="442"/>
      <c r="AZ251" s="449"/>
      <c r="BA251" s="449"/>
      <c r="BB251" s="449"/>
    </row>
    <row r="252" spans="1:54" ht="12.75" thickBot="1">
      <c r="A252" s="479" t="s">
        <v>598</v>
      </c>
      <c r="B252" s="1771"/>
      <c r="C252" s="1885" t="s">
        <v>413</v>
      </c>
      <c r="D252" s="1886"/>
      <c r="E252" s="1886"/>
      <c r="F252" s="1887"/>
      <c r="G252" s="469">
        <f t="shared" ref="G252" si="537">SUM(G251:G251)</f>
        <v>0</v>
      </c>
      <c r="H252" s="470">
        <f t="shared" ref="H252:I252" si="538">SUM(H251:H251)</f>
        <v>0</v>
      </c>
      <c r="I252" s="470">
        <f t="shared" si="538"/>
        <v>0</v>
      </c>
      <c r="J252" s="1635" t="str">
        <f t="shared" si="488"/>
        <v>-</v>
      </c>
      <c r="K252" s="469">
        <f t="shared" ref="K252:AU252" si="539">SUM(K251:K251)</f>
        <v>0</v>
      </c>
      <c r="L252" s="470">
        <f t="shared" ref="L252:M252" si="540">SUM(L251:L251)</f>
        <v>0</v>
      </c>
      <c r="M252" s="470">
        <f t="shared" si="540"/>
        <v>0</v>
      </c>
      <c r="N252" s="1635" t="str">
        <f t="shared" si="492"/>
        <v>-</v>
      </c>
      <c r="O252" s="469">
        <f t="shared" si="539"/>
        <v>0</v>
      </c>
      <c r="P252" s="470">
        <f t="shared" ref="P252" si="541">SUM(P251:P251)</f>
        <v>0</v>
      </c>
      <c r="Q252" s="321">
        <f t="shared" ref="Q252" si="542">SUM(Q251:Q251)</f>
        <v>0</v>
      </c>
      <c r="R252" s="1638" t="str">
        <f t="shared" si="493"/>
        <v>-</v>
      </c>
      <c r="S252" s="469">
        <f t="shared" si="539"/>
        <v>0</v>
      </c>
      <c r="T252" s="470">
        <f t="shared" ref="T252:U252" si="543">SUM(T251:T251)</f>
        <v>0</v>
      </c>
      <c r="U252" s="321">
        <f t="shared" si="543"/>
        <v>0</v>
      </c>
      <c r="V252" s="1638" t="str">
        <f t="shared" si="494"/>
        <v>-</v>
      </c>
      <c r="W252" s="469">
        <f t="shared" si="539"/>
        <v>0</v>
      </c>
      <c r="X252" s="470">
        <f t="shared" ref="X252:Y252" si="544">SUM(X251:X251)</f>
        <v>0</v>
      </c>
      <c r="Y252" s="321">
        <f t="shared" si="544"/>
        <v>0</v>
      </c>
      <c r="Z252" s="1638" t="str">
        <f t="shared" si="495"/>
        <v>-</v>
      </c>
      <c r="AA252" s="469">
        <f t="shared" si="539"/>
        <v>0</v>
      </c>
      <c r="AB252" s="470">
        <f t="shared" ref="AB252:AC252" si="545">SUM(AB251:AB251)</f>
        <v>0</v>
      </c>
      <c r="AC252" s="321">
        <f t="shared" si="545"/>
        <v>0</v>
      </c>
      <c r="AD252" s="1638" t="str">
        <f t="shared" si="496"/>
        <v>-</v>
      </c>
      <c r="AE252" s="469">
        <f t="shared" si="539"/>
        <v>0</v>
      </c>
      <c r="AF252" s="470">
        <f t="shared" ref="AF252:AG252" si="546">SUM(AF251:AF251)</f>
        <v>0</v>
      </c>
      <c r="AG252" s="321">
        <f t="shared" si="546"/>
        <v>0</v>
      </c>
      <c r="AH252" s="1638" t="str">
        <f t="shared" si="497"/>
        <v>-</v>
      </c>
      <c r="AI252" s="469">
        <f t="shared" si="539"/>
        <v>0</v>
      </c>
      <c r="AJ252" s="470">
        <f t="shared" ref="AJ252:AK252" si="547">SUM(AJ251:AJ251)</f>
        <v>0</v>
      </c>
      <c r="AK252" s="470">
        <f t="shared" si="547"/>
        <v>0</v>
      </c>
      <c r="AL252" s="1635" t="str">
        <f t="shared" si="501"/>
        <v>-</v>
      </c>
      <c r="AM252" s="469">
        <f t="shared" si="539"/>
        <v>0</v>
      </c>
      <c r="AN252" s="470">
        <f t="shared" ref="AN252:AO252" si="548">SUM(AN251:AN251)</f>
        <v>0</v>
      </c>
      <c r="AO252" s="321">
        <f t="shared" si="548"/>
        <v>0</v>
      </c>
      <c r="AP252" s="1638" t="str">
        <f t="shared" si="502"/>
        <v>-</v>
      </c>
      <c r="AQ252" s="469">
        <f t="shared" si="539"/>
        <v>0</v>
      </c>
      <c r="AR252" s="470">
        <f t="shared" ref="AR252:AS252" si="549">SUM(AR251:AR251)</f>
        <v>0</v>
      </c>
      <c r="AS252" s="321">
        <f t="shared" si="549"/>
        <v>0</v>
      </c>
      <c r="AT252" s="1638" t="str">
        <f t="shared" si="503"/>
        <v>-</v>
      </c>
      <c r="AU252" s="469">
        <f t="shared" si="539"/>
        <v>0</v>
      </c>
      <c r="AV252" s="470">
        <f t="shared" ref="AV252:AW252" si="550">SUM(AV251:AV251)</f>
        <v>0</v>
      </c>
      <c r="AW252" s="321">
        <f t="shared" si="550"/>
        <v>0</v>
      </c>
      <c r="AX252" s="1638" t="str">
        <f t="shared" si="504"/>
        <v>-</v>
      </c>
      <c r="AY252" s="723"/>
    </row>
    <row r="253" spans="1:54" s="440" customFormat="1" ht="12.75" thickBot="1">
      <c r="A253" s="480" t="s">
        <v>23</v>
      </c>
      <c r="B253" s="1782"/>
      <c r="C253" s="1903" t="s">
        <v>414</v>
      </c>
      <c r="D253" s="1904"/>
      <c r="E253" s="1904"/>
      <c r="F253" s="1905"/>
      <c r="G253" s="453">
        <f t="shared" ref="G253" si="551">+G243+G250+G252</f>
        <v>3667147</v>
      </c>
      <c r="H253" s="454">
        <f t="shared" ref="H253:I253" si="552">+H243+H250+H252</f>
        <v>5530846</v>
      </c>
      <c r="I253" s="454">
        <f t="shared" si="552"/>
        <v>2044019</v>
      </c>
      <c r="J253" s="1692">
        <f t="shared" si="488"/>
        <v>0.36956715120977873</v>
      </c>
      <c r="K253" s="453">
        <f t="shared" ref="K253:AU253" si="553">+K243+K250+K252</f>
        <v>3194324</v>
      </c>
      <c r="L253" s="454">
        <f t="shared" ref="L253:M253" si="554">+L243+L250+L252</f>
        <v>4231233</v>
      </c>
      <c r="M253" s="454">
        <f t="shared" si="554"/>
        <v>1026775</v>
      </c>
      <c r="N253" s="1692">
        <f t="shared" si="492"/>
        <v>0.24266567215750112</v>
      </c>
      <c r="O253" s="471">
        <f t="shared" si="553"/>
        <v>59779</v>
      </c>
      <c r="P253" s="472">
        <f t="shared" ref="P253:Q253" si="555">+P243+P250+P252</f>
        <v>306050</v>
      </c>
      <c r="Q253" s="454">
        <f t="shared" si="555"/>
        <v>303189</v>
      </c>
      <c r="R253" s="1692">
        <f t="shared" si="493"/>
        <v>0.99065185427217772</v>
      </c>
      <c r="S253" s="471">
        <f t="shared" si="553"/>
        <v>8859</v>
      </c>
      <c r="T253" s="472">
        <f t="shared" ref="T253:U253" si="556">+T243+T250+T252</f>
        <v>45507</v>
      </c>
      <c r="U253" s="454">
        <f t="shared" si="556"/>
        <v>45507</v>
      </c>
      <c r="V253" s="1692">
        <f t="shared" si="494"/>
        <v>1</v>
      </c>
      <c r="W253" s="471">
        <f t="shared" si="553"/>
        <v>197031</v>
      </c>
      <c r="X253" s="472">
        <f t="shared" ref="X253:Y253" si="557">+X243+X250+X252</f>
        <v>621270</v>
      </c>
      <c r="Y253" s="454">
        <f t="shared" si="557"/>
        <v>548566</v>
      </c>
      <c r="Z253" s="1692">
        <f t="shared" si="495"/>
        <v>0.88297519596954621</v>
      </c>
      <c r="AA253" s="471">
        <f t="shared" si="553"/>
        <v>57543</v>
      </c>
      <c r="AB253" s="472">
        <f t="shared" ref="AB253:AC253" si="558">+AB243+AB250+AB252</f>
        <v>43459</v>
      </c>
      <c r="AC253" s="454">
        <f t="shared" si="558"/>
        <v>43161</v>
      </c>
      <c r="AD253" s="1692">
        <f t="shared" si="496"/>
        <v>0.99314296233231325</v>
      </c>
      <c r="AE253" s="471">
        <f t="shared" si="553"/>
        <v>2871112</v>
      </c>
      <c r="AF253" s="472">
        <f t="shared" ref="AF253:AG253" si="559">+AF243+AF250+AF252</f>
        <v>3214947</v>
      </c>
      <c r="AG253" s="454">
        <f t="shared" si="559"/>
        <v>86352</v>
      </c>
      <c r="AH253" s="1692">
        <f t="shared" si="497"/>
        <v>2.6859540763813524E-2</v>
      </c>
      <c r="AI253" s="453">
        <f t="shared" si="553"/>
        <v>472823</v>
      </c>
      <c r="AJ253" s="454">
        <f t="shared" ref="AJ253:AK253" si="560">+AJ243+AJ250+AJ252</f>
        <v>1299613</v>
      </c>
      <c r="AK253" s="454">
        <f t="shared" si="560"/>
        <v>1017244</v>
      </c>
      <c r="AL253" s="1692">
        <f t="shared" si="501"/>
        <v>0.78272839683813566</v>
      </c>
      <c r="AM253" s="471">
        <f t="shared" si="553"/>
        <v>453147</v>
      </c>
      <c r="AN253" s="472">
        <f t="shared" ref="AN253:AO253" si="561">+AN243+AN250+AN252</f>
        <v>884406</v>
      </c>
      <c r="AO253" s="454">
        <f t="shared" si="561"/>
        <v>769222</v>
      </c>
      <c r="AP253" s="1692">
        <f t="shared" si="502"/>
        <v>0.86976117303591338</v>
      </c>
      <c r="AQ253" s="471">
        <f t="shared" si="553"/>
        <v>19676</v>
      </c>
      <c r="AR253" s="472">
        <f t="shared" ref="AR253:AS253" si="562">+AR243+AR250+AR252</f>
        <v>415189</v>
      </c>
      <c r="AS253" s="454">
        <f t="shared" si="562"/>
        <v>248004</v>
      </c>
      <c r="AT253" s="1692">
        <f t="shared" si="503"/>
        <v>0.59732796389114351</v>
      </c>
      <c r="AU253" s="471">
        <f t="shared" si="553"/>
        <v>0</v>
      </c>
      <c r="AV253" s="472">
        <f t="shared" ref="AV253:AW253" si="563">+AV243+AV250+AV252</f>
        <v>18</v>
      </c>
      <c r="AW253" s="454">
        <f t="shared" si="563"/>
        <v>18</v>
      </c>
      <c r="AX253" s="1692">
        <f t="shared" si="504"/>
        <v>1</v>
      </c>
      <c r="AY253" s="723"/>
      <c r="AZ253" s="259"/>
      <c r="BA253" s="259"/>
      <c r="BB253" s="259"/>
    </row>
    <row r="254" spans="1:54" ht="12.75" thickBot="1">
      <c r="A254" s="736"/>
      <c r="B254" s="1783"/>
      <c r="C254" s="832"/>
      <c r="D254" s="477"/>
      <c r="E254" s="827"/>
      <c r="F254" s="455"/>
      <c r="G254" s="456"/>
      <c r="H254" s="457"/>
      <c r="I254" s="457"/>
      <c r="J254" s="1693"/>
      <c r="K254" s="456"/>
      <c r="L254" s="457"/>
      <c r="M254" s="457"/>
      <c r="N254" s="1693"/>
      <c r="O254" s="456"/>
      <c r="P254" s="457"/>
      <c r="Q254" s="457"/>
      <c r="R254" s="1693"/>
      <c r="S254" s="456"/>
      <c r="T254" s="457"/>
      <c r="U254" s="457"/>
      <c r="V254" s="1693"/>
      <c r="W254" s="456"/>
      <c r="X254" s="457"/>
      <c r="Y254" s="457"/>
      <c r="Z254" s="1693"/>
      <c r="AA254" s="456"/>
      <c r="AB254" s="457"/>
      <c r="AC254" s="457"/>
      <c r="AD254" s="1693"/>
      <c r="AE254" s="456"/>
      <c r="AF254" s="457"/>
      <c r="AG254" s="457"/>
      <c r="AH254" s="1693"/>
      <c r="AI254" s="456"/>
      <c r="AJ254" s="457"/>
      <c r="AK254" s="457"/>
      <c r="AL254" s="1693"/>
      <c r="AM254" s="456"/>
      <c r="AN254" s="457"/>
      <c r="AO254" s="457"/>
      <c r="AP254" s="1693"/>
      <c r="AQ254" s="456"/>
      <c r="AR254" s="457"/>
      <c r="AS254" s="457"/>
      <c r="AT254" s="1693"/>
      <c r="AU254" s="456"/>
      <c r="AV254" s="457"/>
      <c r="AW254" s="457"/>
      <c r="AX254" s="1693"/>
      <c r="AY254" s="723"/>
    </row>
    <row r="255" spans="1:54" s="449" customFormat="1">
      <c r="A255" s="484">
        <f>A251+1</f>
        <v>81</v>
      </c>
      <c r="B255" s="1784">
        <v>12</v>
      </c>
      <c r="C255" s="1070" t="s">
        <v>676</v>
      </c>
      <c r="D255" s="864" t="s">
        <v>675</v>
      </c>
      <c r="E255" s="1071" t="s">
        <v>1257</v>
      </c>
      <c r="F255" s="1072" t="s">
        <v>1004</v>
      </c>
      <c r="G255" s="1284">
        <f t="shared" ref="G255:I259" si="564">+K255+AI255</f>
        <v>217703</v>
      </c>
      <c r="H255" s="1285">
        <f t="shared" si="564"/>
        <v>234607</v>
      </c>
      <c r="I255" s="1285">
        <f t="shared" si="564"/>
        <v>225480</v>
      </c>
      <c r="J255" s="1694">
        <f t="shared" ref="J255:J273" si="565">IF(ISERROR(I255/H255),"-",I255/H255)</f>
        <v>0.96109664247017357</v>
      </c>
      <c r="K255" s="1284">
        <f t="shared" ref="K255:M259" si="566">+O255+S255+W255+AA255+AE255</f>
        <v>217703</v>
      </c>
      <c r="L255" s="1285">
        <f t="shared" si="566"/>
        <v>232699</v>
      </c>
      <c r="M255" s="1285">
        <f t="shared" si="566"/>
        <v>223572</v>
      </c>
      <c r="N255" s="1694">
        <f t="shared" ref="N255:N273" si="567">IF(ISERROR(M255/L255),"-",M255/L255)</f>
        <v>0.9607776569731713</v>
      </c>
      <c r="O255" s="1051">
        <v>161113</v>
      </c>
      <c r="P255" s="1052">
        <f>151393+14139+1440+24</f>
        <v>166996</v>
      </c>
      <c r="Q255" s="1052">
        <f>151393+14139+1440</f>
        <v>166972</v>
      </c>
      <c r="R255" s="1700">
        <f t="shared" ref="R255:R273" si="568">IF(ISERROR(Q255/P255),"-",Q255/P255)</f>
        <v>0.99985628398284987</v>
      </c>
      <c r="S255" s="1051">
        <v>32843</v>
      </c>
      <c r="T255" s="1052">
        <f>30163+2913+275+1</f>
        <v>33352</v>
      </c>
      <c r="U255" s="1052">
        <f>30163+2913+275+1</f>
        <v>33352</v>
      </c>
      <c r="V255" s="1700">
        <f t="shared" ref="V255:V273" si="569">IF(ISERROR(U255/T255),"-",U255/T255)</f>
        <v>1</v>
      </c>
      <c r="W255" s="1051">
        <v>23747</v>
      </c>
      <c r="X255" s="1052">
        <f>23248+9103</f>
        <v>32351</v>
      </c>
      <c r="Y255" s="1052">
        <v>23248</v>
      </c>
      <c r="Z255" s="1700">
        <f t="shared" ref="Z255:Z273" si="570">IF(ISERROR(Y255/X255),"-",Y255/X255)</f>
        <v>0.71861766251429626</v>
      </c>
      <c r="AA255" s="1051"/>
      <c r="AB255" s="1052"/>
      <c r="AC255" s="1052"/>
      <c r="AD255" s="1700" t="str">
        <f t="shared" ref="AD255:AD273" si="571">IF(ISERROR(AC255/AB255),"-",AC255/AB255)</f>
        <v>-</v>
      </c>
      <c r="AE255" s="1051"/>
      <c r="AF255" s="1052"/>
      <c r="AG255" s="1052"/>
      <c r="AH255" s="1700" t="str">
        <f t="shared" ref="AH255:AH273" si="572">IF(ISERROR(AG255/AF255),"-",AG255/AF255)</f>
        <v>-</v>
      </c>
      <c r="AI255" s="1284">
        <f t="shared" ref="AI255:AK259" si="573">+AM255+AQ255+AU255</f>
        <v>0</v>
      </c>
      <c r="AJ255" s="1285">
        <f t="shared" si="573"/>
        <v>1908</v>
      </c>
      <c r="AK255" s="1285">
        <f t="shared" si="573"/>
        <v>1908</v>
      </c>
      <c r="AL255" s="1694">
        <f t="shared" ref="AL255:AL273" si="574">IF(ISERROR(AK255/AJ255),"-",AK255/AJ255)</f>
        <v>1</v>
      </c>
      <c r="AM255" s="1051"/>
      <c r="AN255" s="1052">
        <v>1908</v>
      </c>
      <c r="AO255" s="1052">
        <v>1908</v>
      </c>
      <c r="AP255" s="1700">
        <f t="shared" ref="AP255:AP273" si="575">IF(ISERROR(AO255/AN255),"-",AO255/AN255)</f>
        <v>1</v>
      </c>
      <c r="AQ255" s="1051"/>
      <c r="AR255" s="1052"/>
      <c r="AS255" s="1052"/>
      <c r="AT255" s="1700" t="str">
        <f t="shared" ref="AT255:AT273" si="576">IF(ISERROR(AS255/AR255),"-",AS255/AR255)</f>
        <v>-</v>
      </c>
      <c r="AU255" s="1051"/>
      <c r="AV255" s="1052"/>
      <c r="AW255" s="1052"/>
      <c r="AX255" s="1700" t="str">
        <f t="shared" ref="AX255:AX273" si="577">IF(ISERROR(AW255/AV255),"-",AW255/AV255)</f>
        <v>-</v>
      </c>
      <c r="AY255" s="442"/>
      <c r="AZ255" s="259"/>
      <c r="BA255" s="259"/>
      <c r="BB255" s="259"/>
    </row>
    <row r="256" spans="1:54" s="444" customFormat="1" ht="24">
      <c r="A256" s="483">
        <f>+A255+1</f>
        <v>82</v>
      </c>
      <c r="B256" s="249">
        <v>13</v>
      </c>
      <c r="C256" s="1062" t="s">
        <v>1046</v>
      </c>
      <c r="D256" s="856" t="s">
        <v>1287</v>
      </c>
      <c r="E256" s="1060" t="s">
        <v>1257</v>
      </c>
      <c r="F256" s="1069" t="s">
        <v>1280</v>
      </c>
      <c r="G256" s="1276">
        <f t="shared" si="564"/>
        <v>0</v>
      </c>
      <c r="H256" s="1277">
        <f t="shared" si="564"/>
        <v>32368</v>
      </c>
      <c r="I256" s="1277">
        <f t="shared" si="564"/>
        <v>32368</v>
      </c>
      <c r="J256" s="1689">
        <f t="shared" si="565"/>
        <v>1</v>
      </c>
      <c r="K256" s="1276">
        <f t="shared" si="566"/>
        <v>0</v>
      </c>
      <c r="L256" s="1277">
        <f t="shared" si="566"/>
        <v>32368</v>
      </c>
      <c r="M256" s="1277">
        <f t="shared" si="566"/>
        <v>32368</v>
      </c>
      <c r="N256" s="1689">
        <f t="shared" si="567"/>
        <v>1</v>
      </c>
      <c r="O256" s="1049"/>
      <c r="P256" s="1050">
        <v>18037</v>
      </c>
      <c r="Q256" s="1050">
        <v>18037</v>
      </c>
      <c r="R256" s="1701">
        <f t="shared" si="568"/>
        <v>1</v>
      </c>
      <c r="S256" s="1049"/>
      <c r="T256" s="1050">
        <v>3049</v>
      </c>
      <c r="U256" s="1050">
        <v>3049</v>
      </c>
      <c r="V256" s="1701">
        <f t="shared" si="569"/>
        <v>1</v>
      </c>
      <c r="W256" s="1049"/>
      <c r="X256" s="1050">
        <v>11282</v>
      </c>
      <c r="Y256" s="1050">
        <v>11282</v>
      </c>
      <c r="Z256" s="1701">
        <f t="shared" si="570"/>
        <v>1</v>
      </c>
      <c r="AA256" s="1049"/>
      <c r="AB256" s="1050"/>
      <c r="AC256" s="1050"/>
      <c r="AD256" s="1701" t="str">
        <f t="shared" si="571"/>
        <v>-</v>
      </c>
      <c r="AE256" s="1049"/>
      <c r="AF256" s="1050"/>
      <c r="AG256" s="1050"/>
      <c r="AH256" s="1701" t="str">
        <f t="shared" si="572"/>
        <v>-</v>
      </c>
      <c r="AI256" s="1276">
        <f t="shared" si="573"/>
        <v>0</v>
      </c>
      <c r="AJ256" s="1277">
        <f t="shared" si="573"/>
        <v>0</v>
      </c>
      <c r="AK256" s="1277">
        <f t="shared" si="573"/>
        <v>0</v>
      </c>
      <c r="AL256" s="1689" t="str">
        <f t="shared" si="574"/>
        <v>-</v>
      </c>
      <c r="AM256" s="1049"/>
      <c r="AN256" s="1050"/>
      <c r="AO256" s="1050"/>
      <c r="AP256" s="1701" t="str">
        <f t="shared" si="575"/>
        <v>-</v>
      </c>
      <c r="AQ256" s="1049"/>
      <c r="AR256" s="1050"/>
      <c r="AS256" s="1050"/>
      <c r="AT256" s="1701" t="str">
        <f t="shared" si="576"/>
        <v>-</v>
      </c>
      <c r="AU256" s="1049"/>
      <c r="AV256" s="1050"/>
      <c r="AW256" s="1050"/>
      <c r="AX256" s="1701" t="str">
        <f t="shared" si="577"/>
        <v>-</v>
      </c>
      <c r="AY256" s="442"/>
    </row>
    <row r="257" spans="1:54" s="444" customFormat="1">
      <c r="A257" s="483">
        <f t="shared" ref="A257:A259" si="578">+A256+1</f>
        <v>83</v>
      </c>
      <c r="B257" s="249">
        <v>14</v>
      </c>
      <c r="C257" s="1062" t="s">
        <v>708</v>
      </c>
      <c r="D257" s="856" t="s">
        <v>707</v>
      </c>
      <c r="E257" s="1061" t="s">
        <v>1261</v>
      </c>
      <c r="F257" s="1067" t="s">
        <v>783</v>
      </c>
      <c r="G257" s="1276">
        <f t="shared" si="564"/>
        <v>62098</v>
      </c>
      <c r="H257" s="1277">
        <f t="shared" si="564"/>
        <v>121739</v>
      </c>
      <c r="I257" s="1277">
        <f t="shared" si="564"/>
        <v>121739</v>
      </c>
      <c r="J257" s="1689">
        <f t="shared" si="565"/>
        <v>1</v>
      </c>
      <c r="K257" s="1276">
        <f t="shared" si="566"/>
        <v>62098</v>
      </c>
      <c r="L257" s="1277">
        <f t="shared" si="566"/>
        <v>121203</v>
      </c>
      <c r="M257" s="1277">
        <f t="shared" si="566"/>
        <v>121203</v>
      </c>
      <c r="N257" s="1689">
        <f t="shared" si="567"/>
        <v>1</v>
      </c>
      <c r="O257" s="1049">
        <v>44679</v>
      </c>
      <c r="P257" s="1050">
        <f>85150+16134-7432</f>
        <v>93852</v>
      </c>
      <c r="Q257" s="1050">
        <f>85150+16134-7432</f>
        <v>93852</v>
      </c>
      <c r="R257" s="1701">
        <f t="shared" si="568"/>
        <v>1</v>
      </c>
      <c r="S257" s="1049">
        <v>8862</v>
      </c>
      <c r="T257" s="1050">
        <f>16961+5324-1320</f>
        <v>20965</v>
      </c>
      <c r="U257" s="1050">
        <f>16961+5324-1320</f>
        <v>20965</v>
      </c>
      <c r="V257" s="1701">
        <f t="shared" si="569"/>
        <v>1</v>
      </c>
      <c r="W257" s="1049">
        <v>8557</v>
      </c>
      <c r="X257" s="1050">
        <v>6386</v>
      </c>
      <c r="Y257" s="1050">
        <v>6386</v>
      </c>
      <c r="Z257" s="1701">
        <f t="shared" si="570"/>
        <v>1</v>
      </c>
      <c r="AA257" s="1049"/>
      <c r="AB257" s="1050"/>
      <c r="AC257" s="1050"/>
      <c r="AD257" s="1701" t="str">
        <f t="shared" si="571"/>
        <v>-</v>
      </c>
      <c r="AE257" s="1049"/>
      <c r="AF257" s="1050"/>
      <c r="AG257" s="1050"/>
      <c r="AH257" s="1701" t="str">
        <f t="shared" si="572"/>
        <v>-</v>
      </c>
      <c r="AI257" s="1276">
        <f t="shared" si="573"/>
        <v>0</v>
      </c>
      <c r="AJ257" s="1277">
        <f t="shared" si="573"/>
        <v>536</v>
      </c>
      <c r="AK257" s="1277">
        <f t="shared" si="573"/>
        <v>536</v>
      </c>
      <c r="AL257" s="1689">
        <f t="shared" si="574"/>
        <v>1</v>
      </c>
      <c r="AM257" s="1049"/>
      <c r="AN257" s="1050">
        <v>536</v>
      </c>
      <c r="AO257" s="1050">
        <v>536</v>
      </c>
      <c r="AP257" s="1701">
        <f t="shared" si="575"/>
        <v>1</v>
      </c>
      <c r="AQ257" s="1049"/>
      <c r="AR257" s="1050"/>
      <c r="AS257" s="1050"/>
      <c r="AT257" s="1701" t="str">
        <f t="shared" si="576"/>
        <v>-</v>
      </c>
      <c r="AU257" s="1049"/>
      <c r="AV257" s="1050"/>
      <c r="AW257" s="1050"/>
      <c r="AX257" s="1701" t="str">
        <f t="shared" si="577"/>
        <v>-</v>
      </c>
      <c r="AY257" s="442"/>
    </row>
    <row r="258" spans="1:54" s="444" customFormat="1">
      <c r="A258" s="483">
        <f t="shared" si="578"/>
        <v>84</v>
      </c>
      <c r="B258" s="249">
        <v>14</v>
      </c>
      <c r="C258" s="1062" t="s">
        <v>708</v>
      </c>
      <c r="D258" s="856" t="s">
        <v>707</v>
      </c>
      <c r="E258" s="1061" t="s">
        <v>1261</v>
      </c>
      <c r="F258" s="1067" t="s">
        <v>1049</v>
      </c>
      <c r="G258" s="1276">
        <f t="shared" si="564"/>
        <v>67469</v>
      </c>
      <c r="H258" s="1277">
        <f t="shared" si="564"/>
        <v>0</v>
      </c>
      <c r="I258" s="1277">
        <f t="shared" si="564"/>
        <v>0</v>
      </c>
      <c r="J258" s="1689" t="str">
        <f t="shared" si="565"/>
        <v>-</v>
      </c>
      <c r="K258" s="1276">
        <f t="shared" si="566"/>
        <v>67469</v>
      </c>
      <c r="L258" s="1277">
        <f t="shared" si="566"/>
        <v>0</v>
      </c>
      <c r="M258" s="1277">
        <f t="shared" si="566"/>
        <v>0</v>
      </c>
      <c r="N258" s="1689" t="str">
        <f t="shared" si="567"/>
        <v>-</v>
      </c>
      <c r="O258" s="1049">
        <v>52393</v>
      </c>
      <c r="P258" s="1050">
        <v>0</v>
      </c>
      <c r="Q258" s="1050"/>
      <c r="R258" s="1701" t="str">
        <f t="shared" si="568"/>
        <v>-</v>
      </c>
      <c r="S258" s="1049">
        <v>10377</v>
      </c>
      <c r="T258" s="1050">
        <v>0</v>
      </c>
      <c r="U258" s="1050"/>
      <c r="V258" s="1701" t="str">
        <f t="shared" si="569"/>
        <v>-</v>
      </c>
      <c r="W258" s="1049">
        <v>4699</v>
      </c>
      <c r="X258" s="1050">
        <v>0</v>
      </c>
      <c r="Y258" s="1050"/>
      <c r="Z258" s="1701" t="str">
        <f t="shared" si="570"/>
        <v>-</v>
      </c>
      <c r="AA258" s="1049"/>
      <c r="AB258" s="1050"/>
      <c r="AC258" s="1050"/>
      <c r="AD258" s="1701" t="str">
        <f t="shared" si="571"/>
        <v>-</v>
      </c>
      <c r="AE258" s="1049"/>
      <c r="AF258" s="1050"/>
      <c r="AG258" s="1050"/>
      <c r="AH258" s="1701" t="str">
        <f t="shared" si="572"/>
        <v>-</v>
      </c>
      <c r="AI258" s="1276">
        <f t="shared" si="573"/>
        <v>0</v>
      </c>
      <c r="AJ258" s="1277">
        <f t="shared" si="573"/>
        <v>0</v>
      </c>
      <c r="AK258" s="1277">
        <f t="shared" si="573"/>
        <v>0</v>
      </c>
      <c r="AL258" s="1689" t="str">
        <f t="shared" si="574"/>
        <v>-</v>
      </c>
      <c r="AM258" s="1049"/>
      <c r="AN258" s="1050"/>
      <c r="AO258" s="1050"/>
      <c r="AP258" s="1701" t="str">
        <f t="shared" si="575"/>
        <v>-</v>
      </c>
      <c r="AQ258" s="1049"/>
      <c r="AR258" s="1050"/>
      <c r="AS258" s="1050"/>
      <c r="AT258" s="1701" t="str">
        <f t="shared" si="576"/>
        <v>-</v>
      </c>
      <c r="AU258" s="1049"/>
      <c r="AV258" s="1050"/>
      <c r="AW258" s="1050"/>
      <c r="AX258" s="1701" t="str">
        <f t="shared" si="577"/>
        <v>-</v>
      </c>
      <c r="AY258" s="442"/>
    </row>
    <row r="259" spans="1:54" s="444" customFormat="1" ht="12.75" thickBot="1">
      <c r="A259" s="483">
        <f t="shared" si="578"/>
        <v>85</v>
      </c>
      <c r="B259" s="249">
        <v>14</v>
      </c>
      <c r="C259" s="1062" t="s">
        <v>1011</v>
      </c>
      <c r="D259" s="856" t="s">
        <v>1012</v>
      </c>
      <c r="E259" s="1061" t="s">
        <v>1257</v>
      </c>
      <c r="F259" s="1067" t="s">
        <v>1004</v>
      </c>
      <c r="G259" s="1276">
        <f t="shared" si="564"/>
        <v>0</v>
      </c>
      <c r="H259" s="1277">
        <f t="shared" si="564"/>
        <v>1985</v>
      </c>
      <c r="I259" s="1277">
        <f t="shared" si="564"/>
        <v>1985</v>
      </c>
      <c r="J259" s="1689">
        <f t="shared" si="565"/>
        <v>1</v>
      </c>
      <c r="K259" s="1276">
        <f t="shared" si="566"/>
        <v>0</v>
      </c>
      <c r="L259" s="1277">
        <f t="shared" si="566"/>
        <v>1985</v>
      </c>
      <c r="M259" s="1277">
        <f t="shared" si="566"/>
        <v>1985</v>
      </c>
      <c r="N259" s="1689">
        <f t="shared" si="567"/>
        <v>1</v>
      </c>
      <c r="O259" s="1049"/>
      <c r="P259" s="1050"/>
      <c r="Q259" s="1050"/>
      <c r="R259" s="1701" t="str">
        <f t="shared" si="568"/>
        <v>-</v>
      </c>
      <c r="S259" s="1049"/>
      <c r="T259" s="1050"/>
      <c r="U259" s="1050"/>
      <c r="V259" s="1701" t="str">
        <f t="shared" si="569"/>
        <v>-</v>
      </c>
      <c r="W259" s="1049"/>
      <c r="X259" s="1050"/>
      <c r="Y259" s="1050"/>
      <c r="Z259" s="1701" t="str">
        <f t="shared" si="570"/>
        <v>-</v>
      </c>
      <c r="AA259" s="1049"/>
      <c r="AB259" s="1050"/>
      <c r="AC259" s="1050"/>
      <c r="AD259" s="1701" t="str">
        <f t="shared" si="571"/>
        <v>-</v>
      </c>
      <c r="AE259" s="1049"/>
      <c r="AF259" s="1050">
        <v>1985</v>
      </c>
      <c r="AG259" s="1050">
        <v>1985</v>
      </c>
      <c r="AH259" s="1701">
        <f t="shared" si="572"/>
        <v>1</v>
      </c>
      <c r="AI259" s="1276">
        <f t="shared" si="573"/>
        <v>0</v>
      </c>
      <c r="AJ259" s="1277">
        <f t="shared" si="573"/>
        <v>0</v>
      </c>
      <c r="AK259" s="1277">
        <f t="shared" si="573"/>
        <v>0</v>
      </c>
      <c r="AL259" s="1689" t="str">
        <f t="shared" si="574"/>
        <v>-</v>
      </c>
      <c r="AM259" s="1049"/>
      <c r="AN259" s="1050"/>
      <c r="AO259" s="1050"/>
      <c r="AP259" s="1701" t="str">
        <f t="shared" si="575"/>
        <v>-</v>
      </c>
      <c r="AQ259" s="1049"/>
      <c r="AR259" s="1050"/>
      <c r="AS259" s="1050"/>
      <c r="AT259" s="1701" t="str">
        <f t="shared" si="576"/>
        <v>-</v>
      </c>
      <c r="AU259" s="1049"/>
      <c r="AV259" s="1050"/>
      <c r="AW259" s="1050"/>
      <c r="AX259" s="1701" t="str">
        <f t="shared" si="577"/>
        <v>-</v>
      </c>
      <c r="AY259" s="442"/>
    </row>
    <row r="260" spans="1:54" s="444" customFormat="1" ht="12.75" thickBot="1">
      <c r="A260" s="479" t="s">
        <v>599</v>
      </c>
      <c r="B260" s="1771"/>
      <c r="C260" s="1885" t="s">
        <v>873</v>
      </c>
      <c r="D260" s="1886"/>
      <c r="E260" s="1886"/>
      <c r="F260" s="1887"/>
      <c r="G260" s="469">
        <f>SUM(G255:G259)</f>
        <v>347270</v>
      </c>
      <c r="H260" s="470">
        <f>SUM(H255:H259)</f>
        <v>390699</v>
      </c>
      <c r="I260" s="470">
        <f>SUM(I255:I259)</f>
        <v>381572</v>
      </c>
      <c r="J260" s="1635">
        <f t="shared" si="565"/>
        <v>0.97663930544997557</v>
      </c>
      <c r="K260" s="469">
        <f t="shared" ref="K260" si="579">SUM(K255:K259)</f>
        <v>347270</v>
      </c>
      <c r="L260" s="470">
        <f t="shared" ref="L260:M260" si="580">SUM(L255:L259)</f>
        <v>388255</v>
      </c>
      <c r="M260" s="470">
        <f t="shared" si="580"/>
        <v>379128</v>
      </c>
      <c r="N260" s="1635">
        <f t="shared" si="567"/>
        <v>0.97649225380226912</v>
      </c>
      <c r="O260" s="469">
        <f t="shared" ref="O260:AU260" si="581">SUM(O255:O259)</f>
        <v>258185</v>
      </c>
      <c r="P260" s="470">
        <f t="shared" ref="P260:Q260" si="582">SUM(P255:P259)</f>
        <v>278885</v>
      </c>
      <c r="Q260" s="470">
        <f t="shared" si="582"/>
        <v>278861</v>
      </c>
      <c r="R260" s="1638">
        <f t="shared" si="568"/>
        <v>0.99991394302310987</v>
      </c>
      <c r="S260" s="469">
        <f t="shared" si="581"/>
        <v>52082</v>
      </c>
      <c r="T260" s="470">
        <f t="shared" ref="T260:U260" si="583">SUM(T255:T259)</f>
        <v>57366</v>
      </c>
      <c r="U260" s="321">
        <f t="shared" si="583"/>
        <v>57366</v>
      </c>
      <c r="V260" s="1638">
        <f t="shared" si="569"/>
        <v>1</v>
      </c>
      <c r="W260" s="469">
        <f t="shared" si="581"/>
        <v>37003</v>
      </c>
      <c r="X260" s="470">
        <f t="shared" ref="X260:Y260" si="584">SUM(X255:X259)</f>
        <v>50019</v>
      </c>
      <c r="Y260" s="321">
        <f t="shared" si="584"/>
        <v>40916</v>
      </c>
      <c r="Z260" s="1638">
        <f t="shared" si="570"/>
        <v>0.8180091565205222</v>
      </c>
      <c r="AA260" s="469">
        <f t="shared" si="581"/>
        <v>0</v>
      </c>
      <c r="AB260" s="470">
        <f t="shared" ref="AB260:AC260" si="585">SUM(AB255:AB259)</f>
        <v>0</v>
      </c>
      <c r="AC260" s="321">
        <f t="shared" si="585"/>
        <v>0</v>
      </c>
      <c r="AD260" s="1638" t="str">
        <f t="shared" si="571"/>
        <v>-</v>
      </c>
      <c r="AE260" s="469">
        <f t="shared" si="581"/>
        <v>0</v>
      </c>
      <c r="AF260" s="470">
        <f t="shared" ref="AF260:AG260" si="586">SUM(AF255:AF259)</f>
        <v>1985</v>
      </c>
      <c r="AG260" s="321">
        <f t="shared" si="586"/>
        <v>1985</v>
      </c>
      <c r="AH260" s="1638">
        <f t="shared" si="572"/>
        <v>1</v>
      </c>
      <c r="AI260" s="469">
        <f t="shared" si="581"/>
        <v>0</v>
      </c>
      <c r="AJ260" s="470">
        <f t="shared" ref="AJ260:AK260" si="587">SUM(AJ255:AJ259)</f>
        <v>2444</v>
      </c>
      <c r="AK260" s="470">
        <f t="shared" si="587"/>
        <v>2444</v>
      </c>
      <c r="AL260" s="1635">
        <f t="shared" si="574"/>
        <v>1</v>
      </c>
      <c r="AM260" s="469">
        <f t="shared" si="581"/>
        <v>0</v>
      </c>
      <c r="AN260" s="470">
        <f t="shared" ref="AN260:AO260" si="588">SUM(AN255:AN259)</f>
        <v>2444</v>
      </c>
      <c r="AO260" s="321">
        <f t="shared" si="588"/>
        <v>2444</v>
      </c>
      <c r="AP260" s="1638">
        <f t="shared" si="575"/>
        <v>1</v>
      </c>
      <c r="AQ260" s="469">
        <f t="shared" si="581"/>
        <v>0</v>
      </c>
      <c r="AR260" s="470">
        <f t="shared" ref="AR260:AS260" si="589">SUM(AR255:AR259)</f>
        <v>0</v>
      </c>
      <c r="AS260" s="321">
        <f t="shared" si="589"/>
        <v>0</v>
      </c>
      <c r="AT260" s="1638" t="str">
        <f t="shared" si="576"/>
        <v>-</v>
      </c>
      <c r="AU260" s="469">
        <f t="shared" si="581"/>
        <v>0</v>
      </c>
      <c r="AV260" s="470">
        <f t="shared" ref="AV260:AW260" si="590">SUM(AV255:AV259)</f>
        <v>0</v>
      </c>
      <c r="AW260" s="321">
        <f t="shared" si="590"/>
        <v>0</v>
      </c>
      <c r="AX260" s="1638" t="str">
        <f t="shared" si="577"/>
        <v>-</v>
      </c>
      <c r="AY260" s="723"/>
    </row>
    <row r="261" spans="1:54" s="444" customFormat="1">
      <c r="A261" s="483">
        <f>+A259+1</f>
        <v>86</v>
      </c>
      <c r="B261" s="249">
        <v>15</v>
      </c>
      <c r="C261" s="1062" t="s">
        <v>676</v>
      </c>
      <c r="D261" s="856" t="s">
        <v>675</v>
      </c>
      <c r="E261" s="1061" t="s">
        <v>1270</v>
      </c>
      <c r="F261" s="1067" t="s">
        <v>417</v>
      </c>
      <c r="G261" s="1280">
        <f t="shared" ref="G261:I263" si="591">+K261+AI261</f>
        <v>30175</v>
      </c>
      <c r="H261" s="1281">
        <f t="shared" si="591"/>
        <v>29872</v>
      </c>
      <c r="I261" s="1281">
        <f t="shared" si="591"/>
        <v>29872</v>
      </c>
      <c r="J261" s="1668">
        <f t="shared" si="565"/>
        <v>1</v>
      </c>
      <c r="K261" s="1280">
        <f>+O261+S261+W261+AE261</f>
        <v>30175</v>
      </c>
      <c r="L261" s="1281">
        <f>+P261+T261+X261+AF261</f>
        <v>29868</v>
      </c>
      <c r="M261" s="1281">
        <f>+Q261+U261+Y261+AG261</f>
        <v>29868</v>
      </c>
      <c r="N261" s="1668">
        <f t="shared" si="567"/>
        <v>1</v>
      </c>
      <c r="O261" s="1047">
        <v>7922</v>
      </c>
      <c r="P261" s="1048">
        <v>7432</v>
      </c>
      <c r="Q261" s="1048">
        <v>7432</v>
      </c>
      <c r="R261" s="1701">
        <f t="shared" si="568"/>
        <v>1</v>
      </c>
      <c r="S261" s="1047">
        <v>1573</v>
      </c>
      <c r="T261" s="1048">
        <v>1320</v>
      </c>
      <c r="U261" s="1050">
        <v>1320</v>
      </c>
      <c r="V261" s="1701">
        <f t="shared" si="569"/>
        <v>1</v>
      </c>
      <c r="W261" s="1047">
        <v>20680</v>
      </c>
      <c r="X261" s="1048">
        <v>21116</v>
      </c>
      <c r="Y261" s="1050">
        <v>21116</v>
      </c>
      <c r="Z261" s="1701">
        <f t="shared" si="570"/>
        <v>1</v>
      </c>
      <c r="AA261" s="1047"/>
      <c r="AB261" s="1048"/>
      <c r="AC261" s="1050"/>
      <c r="AD261" s="1701" t="str">
        <f t="shared" si="571"/>
        <v>-</v>
      </c>
      <c r="AE261" s="1047"/>
      <c r="AF261" s="1048"/>
      <c r="AG261" s="1050"/>
      <c r="AH261" s="1701" t="str">
        <f t="shared" si="572"/>
        <v>-</v>
      </c>
      <c r="AI261" s="1280">
        <f t="shared" ref="AI261:AK263" si="592">+AM261+AQ261+AU261</f>
        <v>0</v>
      </c>
      <c r="AJ261" s="1281">
        <f t="shared" si="592"/>
        <v>4</v>
      </c>
      <c r="AK261" s="1281">
        <f t="shared" si="592"/>
        <v>4</v>
      </c>
      <c r="AL261" s="1668">
        <f t="shared" si="574"/>
        <v>1</v>
      </c>
      <c r="AM261" s="1047"/>
      <c r="AN261" s="1048">
        <v>4</v>
      </c>
      <c r="AO261" s="1050">
        <v>4</v>
      </c>
      <c r="AP261" s="1701">
        <f t="shared" si="575"/>
        <v>1</v>
      </c>
      <c r="AQ261" s="1047"/>
      <c r="AR261" s="1048"/>
      <c r="AS261" s="1050"/>
      <c r="AT261" s="1701" t="str">
        <f t="shared" si="576"/>
        <v>-</v>
      </c>
      <c r="AU261" s="1047"/>
      <c r="AV261" s="1048"/>
      <c r="AW261" s="1050"/>
      <c r="AX261" s="1701" t="str">
        <f t="shared" si="577"/>
        <v>-</v>
      </c>
      <c r="AY261" s="442"/>
      <c r="AZ261" s="440"/>
      <c r="BA261" s="440"/>
      <c r="BB261" s="440"/>
    </row>
    <row r="262" spans="1:54" s="444" customFormat="1">
      <c r="A262" s="483">
        <f>+A261+1</f>
        <v>87</v>
      </c>
      <c r="B262" s="249">
        <v>16</v>
      </c>
      <c r="C262" s="1062" t="s">
        <v>1084</v>
      </c>
      <c r="D262" s="856" t="s">
        <v>739</v>
      </c>
      <c r="E262" s="1061" t="s">
        <v>1257</v>
      </c>
      <c r="F262" s="1067" t="s">
        <v>656</v>
      </c>
      <c r="G262" s="1276">
        <f t="shared" si="591"/>
        <v>7863</v>
      </c>
      <c r="H262" s="1277">
        <f t="shared" si="591"/>
        <v>0</v>
      </c>
      <c r="I262" s="1277">
        <f t="shared" si="591"/>
        <v>0</v>
      </c>
      <c r="J262" s="1689" t="str">
        <f t="shared" si="565"/>
        <v>-</v>
      </c>
      <c r="K262" s="1276">
        <f>+O262+S262+W262+AA262+AE262</f>
        <v>7863</v>
      </c>
      <c r="L262" s="1277">
        <f>+P262+T262+X262+AB262+AF262</f>
        <v>0</v>
      </c>
      <c r="M262" s="1277">
        <f>+Q262+U262+Y262+AC262+AG262</f>
        <v>0</v>
      </c>
      <c r="N262" s="1689" t="str">
        <f t="shared" si="567"/>
        <v>-</v>
      </c>
      <c r="O262" s="1049">
        <v>6326</v>
      </c>
      <c r="P262" s="1050">
        <v>0</v>
      </c>
      <c r="Q262" s="1050"/>
      <c r="R262" s="1701" t="str">
        <f t="shared" si="568"/>
        <v>-</v>
      </c>
      <c r="S262" s="1049">
        <v>1156</v>
      </c>
      <c r="T262" s="1050">
        <v>0</v>
      </c>
      <c r="U262" s="1050"/>
      <c r="V262" s="1701" t="str">
        <f t="shared" si="569"/>
        <v>-</v>
      </c>
      <c r="W262" s="1049">
        <v>381</v>
      </c>
      <c r="X262" s="1050">
        <v>0</v>
      </c>
      <c r="Y262" s="1050"/>
      <c r="Z262" s="1701" t="str">
        <f t="shared" si="570"/>
        <v>-</v>
      </c>
      <c r="AA262" s="1049"/>
      <c r="AB262" s="1050"/>
      <c r="AC262" s="1050"/>
      <c r="AD262" s="1701" t="str">
        <f t="shared" si="571"/>
        <v>-</v>
      </c>
      <c r="AE262" s="1049"/>
      <c r="AF262" s="1050"/>
      <c r="AG262" s="1050"/>
      <c r="AH262" s="1701" t="str">
        <f t="shared" si="572"/>
        <v>-</v>
      </c>
      <c r="AI262" s="1276">
        <f t="shared" si="592"/>
        <v>0</v>
      </c>
      <c r="AJ262" s="1277">
        <f t="shared" si="592"/>
        <v>0</v>
      </c>
      <c r="AK262" s="1277">
        <f t="shared" si="592"/>
        <v>0</v>
      </c>
      <c r="AL262" s="1689" t="str">
        <f t="shared" si="574"/>
        <v>-</v>
      </c>
      <c r="AM262" s="1049"/>
      <c r="AN262" s="1050"/>
      <c r="AO262" s="1050"/>
      <c r="AP262" s="1701" t="str">
        <f t="shared" si="575"/>
        <v>-</v>
      </c>
      <c r="AQ262" s="1049"/>
      <c r="AR262" s="1050"/>
      <c r="AS262" s="1050"/>
      <c r="AT262" s="1701" t="str">
        <f t="shared" si="576"/>
        <v>-</v>
      </c>
      <c r="AU262" s="1049"/>
      <c r="AV262" s="1050"/>
      <c r="AW262" s="1050"/>
      <c r="AX262" s="1701" t="str">
        <f t="shared" si="577"/>
        <v>-</v>
      </c>
      <c r="AY262" s="442"/>
    </row>
    <row r="263" spans="1:54" s="444" customFormat="1" ht="12.75" thickBot="1">
      <c r="A263" s="483">
        <f>+A262+1</f>
        <v>88</v>
      </c>
      <c r="B263" s="249">
        <v>17</v>
      </c>
      <c r="C263" s="1062" t="s">
        <v>741</v>
      </c>
      <c r="D263" s="856" t="s">
        <v>742</v>
      </c>
      <c r="E263" s="1061" t="s">
        <v>1257</v>
      </c>
      <c r="F263" s="1067" t="s">
        <v>669</v>
      </c>
      <c r="G263" s="1280">
        <f t="shared" si="591"/>
        <v>0</v>
      </c>
      <c r="H263" s="1281">
        <f t="shared" si="591"/>
        <v>0</v>
      </c>
      <c r="I263" s="1281">
        <f t="shared" si="591"/>
        <v>0</v>
      </c>
      <c r="J263" s="1668" t="str">
        <f t="shared" si="565"/>
        <v>-</v>
      </c>
      <c r="K263" s="1280">
        <f>+O263+S263+W263+AE263</f>
        <v>0</v>
      </c>
      <c r="L263" s="1281">
        <f>+P263+T263+X263+AF263</f>
        <v>0</v>
      </c>
      <c r="M263" s="1281">
        <f>+Q263+U263+Y263+AG263</f>
        <v>0</v>
      </c>
      <c r="N263" s="1668" t="str">
        <f t="shared" si="567"/>
        <v>-</v>
      </c>
      <c r="O263" s="1049"/>
      <c r="P263" s="1050"/>
      <c r="Q263" s="1050"/>
      <c r="R263" s="1701" t="str">
        <f t="shared" si="568"/>
        <v>-</v>
      </c>
      <c r="S263" s="1049"/>
      <c r="T263" s="1050"/>
      <c r="U263" s="1050"/>
      <c r="V263" s="1701" t="str">
        <f t="shared" si="569"/>
        <v>-</v>
      </c>
      <c r="W263" s="1049"/>
      <c r="X263" s="1050"/>
      <c r="Y263" s="1050"/>
      <c r="Z263" s="1701" t="str">
        <f t="shared" si="570"/>
        <v>-</v>
      </c>
      <c r="AA263" s="1049"/>
      <c r="AB263" s="1050"/>
      <c r="AC263" s="1050"/>
      <c r="AD263" s="1701" t="str">
        <f t="shared" si="571"/>
        <v>-</v>
      </c>
      <c r="AE263" s="1049"/>
      <c r="AF263" s="1050"/>
      <c r="AG263" s="1050"/>
      <c r="AH263" s="1701" t="str">
        <f t="shared" si="572"/>
        <v>-</v>
      </c>
      <c r="AI263" s="1280">
        <f t="shared" si="592"/>
        <v>0</v>
      </c>
      <c r="AJ263" s="1281">
        <f t="shared" si="592"/>
        <v>0</v>
      </c>
      <c r="AK263" s="1281">
        <f t="shared" si="592"/>
        <v>0</v>
      </c>
      <c r="AL263" s="1668" t="str">
        <f t="shared" si="574"/>
        <v>-</v>
      </c>
      <c r="AM263" s="1049"/>
      <c r="AN263" s="1050"/>
      <c r="AO263" s="1050"/>
      <c r="AP263" s="1701" t="str">
        <f t="shared" si="575"/>
        <v>-</v>
      </c>
      <c r="AQ263" s="1049"/>
      <c r="AR263" s="1050"/>
      <c r="AS263" s="1050"/>
      <c r="AT263" s="1701" t="str">
        <f t="shared" si="576"/>
        <v>-</v>
      </c>
      <c r="AU263" s="1049"/>
      <c r="AV263" s="1050"/>
      <c r="AW263" s="1050"/>
      <c r="AX263" s="1701" t="str">
        <f t="shared" si="577"/>
        <v>-</v>
      </c>
      <c r="AY263" s="442"/>
      <c r="AZ263" s="259"/>
      <c r="BA263" s="259"/>
      <c r="BB263" s="259"/>
    </row>
    <row r="264" spans="1:54" s="449" customFormat="1" ht="12.75" thickBot="1">
      <c r="A264" s="479" t="s">
        <v>641</v>
      </c>
      <c r="B264" s="1771"/>
      <c r="C264" s="1885" t="s">
        <v>874</v>
      </c>
      <c r="D264" s="1886"/>
      <c r="E264" s="1886"/>
      <c r="F264" s="1887"/>
      <c r="G264" s="469">
        <f>SUM(G261:G263)</f>
        <v>38038</v>
      </c>
      <c r="H264" s="470">
        <f>SUM(H261:H263)</f>
        <v>29872</v>
      </c>
      <c r="I264" s="470">
        <f>SUM(I261:I263)</f>
        <v>29872</v>
      </c>
      <c r="J264" s="1635">
        <f t="shared" si="565"/>
        <v>1</v>
      </c>
      <c r="K264" s="469">
        <f t="shared" ref="K264" si="593">SUM(K261:K263)</f>
        <v>38038</v>
      </c>
      <c r="L264" s="470">
        <f t="shared" ref="L264:M264" si="594">SUM(L261:L263)</f>
        <v>29868</v>
      </c>
      <c r="M264" s="470">
        <f t="shared" si="594"/>
        <v>29868</v>
      </c>
      <c r="N264" s="1635">
        <f t="shared" si="567"/>
        <v>1</v>
      </c>
      <c r="O264" s="469">
        <f t="shared" ref="O264:AU264" si="595">SUM(O261:O263)</f>
        <v>14248</v>
      </c>
      <c r="P264" s="470">
        <f t="shared" ref="P264:Q264" si="596">SUM(P261:P263)</f>
        <v>7432</v>
      </c>
      <c r="Q264" s="470">
        <f t="shared" si="596"/>
        <v>7432</v>
      </c>
      <c r="R264" s="1638">
        <f t="shared" si="568"/>
        <v>1</v>
      </c>
      <c r="S264" s="469">
        <f t="shared" si="595"/>
        <v>2729</v>
      </c>
      <c r="T264" s="470">
        <f t="shared" ref="T264:U264" si="597">SUM(T261:T263)</f>
        <v>1320</v>
      </c>
      <c r="U264" s="321">
        <f t="shared" si="597"/>
        <v>1320</v>
      </c>
      <c r="V264" s="1638">
        <f t="shared" si="569"/>
        <v>1</v>
      </c>
      <c r="W264" s="469">
        <f t="shared" si="595"/>
        <v>21061</v>
      </c>
      <c r="X264" s="470">
        <f t="shared" ref="X264:Y264" si="598">SUM(X261:X263)</f>
        <v>21116</v>
      </c>
      <c r="Y264" s="321">
        <f t="shared" si="598"/>
        <v>21116</v>
      </c>
      <c r="Z264" s="1638">
        <f t="shared" si="570"/>
        <v>1</v>
      </c>
      <c r="AA264" s="469">
        <f t="shared" si="595"/>
        <v>0</v>
      </c>
      <c r="AB264" s="470">
        <f t="shared" ref="AB264:AC264" si="599">SUM(AB261:AB263)</f>
        <v>0</v>
      </c>
      <c r="AC264" s="321">
        <f t="shared" si="599"/>
        <v>0</v>
      </c>
      <c r="AD264" s="1638" t="str">
        <f t="shared" si="571"/>
        <v>-</v>
      </c>
      <c r="AE264" s="469">
        <f t="shared" si="595"/>
        <v>0</v>
      </c>
      <c r="AF264" s="470">
        <f t="shared" ref="AF264:AG264" si="600">SUM(AF261:AF263)</f>
        <v>0</v>
      </c>
      <c r="AG264" s="321">
        <f t="shared" si="600"/>
        <v>0</v>
      </c>
      <c r="AH264" s="1638" t="str">
        <f t="shared" si="572"/>
        <v>-</v>
      </c>
      <c r="AI264" s="469">
        <f t="shared" si="595"/>
        <v>0</v>
      </c>
      <c r="AJ264" s="470">
        <f t="shared" ref="AJ264:AK264" si="601">SUM(AJ261:AJ263)</f>
        <v>4</v>
      </c>
      <c r="AK264" s="470">
        <f t="shared" si="601"/>
        <v>4</v>
      </c>
      <c r="AL264" s="1635">
        <f t="shared" si="574"/>
        <v>1</v>
      </c>
      <c r="AM264" s="469">
        <f t="shared" si="595"/>
        <v>0</v>
      </c>
      <c r="AN264" s="470">
        <f t="shared" ref="AN264:AO264" si="602">SUM(AN261:AN263)</f>
        <v>4</v>
      </c>
      <c r="AO264" s="321">
        <f t="shared" si="602"/>
        <v>4</v>
      </c>
      <c r="AP264" s="1638">
        <f t="shared" si="575"/>
        <v>1</v>
      </c>
      <c r="AQ264" s="469">
        <f t="shared" si="595"/>
        <v>0</v>
      </c>
      <c r="AR264" s="470">
        <f t="shared" ref="AR264:AS264" si="603">SUM(AR261:AR263)</f>
        <v>0</v>
      </c>
      <c r="AS264" s="321">
        <f t="shared" si="603"/>
        <v>0</v>
      </c>
      <c r="AT264" s="1638" t="str">
        <f t="shared" si="576"/>
        <v>-</v>
      </c>
      <c r="AU264" s="469">
        <f t="shared" si="595"/>
        <v>0</v>
      </c>
      <c r="AV264" s="470">
        <f t="shared" ref="AV264:AW264" si="604">SUM(AV261:AV263)</f>
        <v>0</v>
      </c>
      <c r="AW264" s="321">
        <f t="shared" si="604"/>
        <v>0</v>
      </c>
      <c r="AX264" s="1638" t="str">
        <f t="shared" si="577"/>
        <v>-</v>
      </c>
      <c r="AY264" s="723"/>
      <c r="AZ264" s="440"/>
      <c r="BA264" s="440"/>
      <c r="BB264" s="440"/>
    </row>
    <row r="265" spans="1:54" s="449" customFormat="1">
      <c r="A265" s="483">
        <f>+A263+1</f>
        <v>89</v>
      </c>
      <c r="B265" s="1781">
        <v>18</v>
      </c>
      <c r="C265" s="1059" t="s">
        <v>748</v>
      </c>
      <c r="D265" s="860" t="s">
        <v>747</v>
      </c>
      <c r="E265" s="1060" t="s">
        <v>1257</v>
      </c>
      <c r="F265" s="1073" t="s">
        <v>667</v>
      </c>
      <c r="G265" s="1284">
        <f t="shared" ref="G265:I271" si="605">+K265+AI265</f>
        <v>0</v>
      </c>
      <c r="H265" s="1285">
        <f t="shared" si="605"/>
        <v>0</v>
      </c>
      <c r="I265" s="1285">
        <f t="shared" si="605"/>
        <v>0</v>
      </c>
      <c r="J265" s="1694" t="str">
        <f t="shared" si="565"/>
        <v>-</v>
      </c>
      <c r="K265" s="1284">
        <f t="shared" ref="K265:M271" si="606">+O265+S265+W265+AA265+AE265</f>
        <v>0</v>
      </c>
      <c r="L265" s="1285">
        <f t="shared" si="606"/>
        <v>0</v>
      </c>
      <c r="M265" s="1285">
        <f t="shared" si="606"/>
        <v>0</v>
      </c>
      <c r="N265" s="1694" t="str">
        <f t="shared" si="567"/>
        <v>-</v>
      </c>
      <c r="O265" s="1051"/>
      <c r="P265" s="1052"/>
      <c r="Q265" s="1052"/>
      <c r="R265" s="1699" t="str">
        <f t="shared" si="568"/>
        <v>-</v>
      </c>
      <c r="S265" s="1051"/>
      <c r="T265" s="1052"/>
      <c r="U265" s="1048"/>
      <c r="V265" s="1699" t="str">
        <f t="shared" si="569"/>
        <v>-</v>
      </c>
      <c r="W265" s="1051"/>
      <c r="X265" s="1052"/>
      <c r="Y265" s="1048"/>
      <c r="Z265" s="1699" t="str">
        <f t="shared" si="570"/>
        <v>-</v>
      </c>
      <c r="AA265" s="1051"/>
      <c r="AB265" s="1052"/>
      <c r="AC265" s="1048"/>
      <c r="AD265" s="1699" t="str">
        <f t="shared" si="571"/>
        <v>-</v>
      </c>
      <c r="AE265" s="1051"/>
      <c r="AF265" s="1052"/>
      <c r="AG265" s="1048"/>
      <c r="AH265" s="1699" t="str">
        <f t="shared" si="572"/>
        <v>-</v>
      </c>
      <c r="AI265" s="1284">
        <f t="shared" ref="AI265:AK271" si="607">+AM265+AQ265+AU265</f>
        <v>0</v>
      </c>
      <c r="AJ265" s="1285">
        <f t="shared" si="607"/>
        <v>0</v>
      </c>
      <c r="AK265" s="1285">
        <f t="shared" si="607"/>
        <v>0</v>
      </c>
      <c r="AL265" s="1694" t="str">
        <f t="shared" si="574"/>
        <v>-</v>
      </c>
      <c r="AM265" s="1051"/>
      <c r="AN265" s="1052"/>
      <c r="AO265" s="1048"/>
      <c r="AP265" s="1699" t="str">
        <f t="shared" si="575"/>
        <v>-</v>
      </c>
      <c r="AQ265" s="1051"/>
      <c r="AR265" s="1052"/>
      <c r="AS265" s="1048"/>
      <c r="AT265" s="1699" t="str">
        <f t="shared" si="576"/>
        <v>-</v>
      </c>
      <c r="AU265" s="1051"/>
      <c r="AV265" s="1052"/>
      <c r="AW265" s="1048"/>
      <c r="AX265" s="1699" t="str">
        <f t="shared" si="577"/>
        <v>-</v>
      </c>
      <c r="AY265" s="442"/>
      <c r="AZ265" s="259"/>
      <c r="BA265" s="259"/>
      <c r="BB265" s="259"/>
    </row>
    <row r="266" spans="1:54" s="444" customFormat="1">
      <c r="A266" s="483">
        <f t="shared" ref="A266:A271" si="608">+A265+1</f>
        <v>90</v>
      </c>
      <c r="B266" s="1781">
        <v>18</v>
      </c>
      <c r="C266" s="1059" t="s">
        <v>748</v>
      </c>
      <c r="D266" s="860" t="s">
        <v>747</v>
      </c>
      <c r="E266" s="1060" t="s">
        <v>1257</v>
      </c>
      <c r="F266" s="1073" t="s">
        <v>668</v>
      </c>
      <c r="G266" s="1276">
        <f t="shared" si="605"/>
        <v>0</v>
      </c>
      <c r="H266" s="1277">
        <f t="shared" si="605"/>
        <v>4072</v>
      </c>
      <c r="I266" s="1277">
        <f t="shared" si="605"/>
        <v>4072</v>
      </c>
      <c r="J266" s="1689">
        <f t="shared" si="565"/>
        <v>1</v>
      </c>
      <c r="K266" s="1276">
        <f t="shared" si="606"/>
        <v>0</v>
      </c>
      <c r="L266" s="1277">
        <f t="shared" si="606"/>
        <v>4072</v>
      </c>
      <c r="M266" s="1277">
        <f t="shared" si="606"/>
        <v>4072</v>
      </c>
      <c r="N266" s="1689">
        <f t="shared" si="567"/>
        <v>1</v>
      </c>
      <c r="O266" s="1049"/>
      <c r="P266" s="1050">
        <v>3275</v>
      </c>
      <c r="Q266" s="1050">
        <v>3275</v>
      </c>
      <c r="R266" s="1699">
        <f t="shared" si="568"/>
        <v>1</v>
      </c>
      <c r="S266" s="1049"/>
      <c r="T266" s="1050">
        <v>630</v>
      </c>
      <c r="U266" s="1048">
        <v>630</v>
      </c>
      <c r="V266" s="1699">
        <f t="shared" si="569"/>
        <v>1</v>
      </c>
      <c r="W266" s="1049"/>
      <c r="X266" s="1050">
        <v>167</v>
      </c>
      <c r="Y266" s="1048">
        <v>167</v>
      </c>
      <c r="Z266" s="1699">
        <f t="shared" si="570"/>
        <v>1</v>
      </c>
      <c r="AA266" s="1049"/>
      <c r="AB266" s="1050"/>
      <c r="AC266" s="1048"/>
      <c r="AD266" s="1699" t="str">
        <f t="shared" si="571"/>
        <v>-</v>
      </c>
      <c r="AE266" s="1049"/>
      <c r="AF266" s="1050"/>
      <c r="AG266" s="1048"/>
      <c r="AH266" s="1699" t="str">
        <f t="shared" si="572"/>
        <v>-</v>
      </c>
      <c r="AI266" s="1276">
        <f t="shared" si="607"/>
        <v>0</v>
      </c>
      <c r="AJ266" s="1277">
        <f t="shared" si="607"/>
        <v>0</v>
      </c>
      <c r="AK266" s="1277">
        <f t="shared" si="607"/>
        <v>0</v>
      </c>
      <c r="AL266" s="1689" t="str">
        <f t="shared" si="574"/>
        <v>-</v>
      </c>
      <c r="AM266" s="1049"/>
      <c r="AN266" s="1050"/>
      <c r="AO266" s="1048"/>
      <c r="AP266" s="1699" t="str">
        <f t="shared" si="575"/>
        <v>-</v>
      </c>
      <c r="AQ266" s="1049"/>
      <c r="AR266" s="1050"/>
      <c r="AS266" s="1048"/>
      <c r="AT266" s="1699" t="str">
        <f t="shared" si="576"/>
        <v>-</v>
      </c>
      <c r="AU266" s="1049"/>
      <c r="AV266" s="1050"/>
      <c r="AW266" s="1048"/>
      <c r="AX266" s="1699" t="str">
        <f t="shared" si="577"/>
        <v>-</v>
      </c>
      <c r="AY266" s="442"/>
    </row>
    <row r="267" spans="1:54" s="444" customFormat="1">
      <c r="A267" s="483">
        <f t="shared" si="608"/>
        <v>91</v>
      </c>
      <c r="B267" s="1781">
        <v>18</v>
      </c>
      <c r="C267" s="1059" t="s">
        <v>748</v>
      </c>
      <c r="D267" s="860" t="s">
        <v>747</v>
      </c>
      <c r="E267" s="1060" t="s">
        <v>1257</v>
      </c>
      <c r="F267" s="1073" t="s">
        <v>745</v>
      </c>
      <c r="G267" s="1276">
        <f t="shared" si="605"/>
        <v>0</v>
      </c>
      <c r="H267" s="1277">
        <f t="shared" si="605"/>
        <v>0</v>
      </c>
      <c r="I267" s="1277">
        <f t="shared" si="605"/>
        <v>0</v>
      </c>
      <c r="J267" s="1689" t="str">
        <f t="shared" si="565"/>
        <v>-</v>
      </c>
      <c r="K267" s="1276">
        <f t="shared" si="606"/>
        <v>0</v>
      </c>
      <c r="L267" s="1277">
        <f t="shared" si="606"/>
        <v>0</v>
      </c>
      <c r="M267" s="1277">
        <f t="shared" si="606"/>
        <v>0</v>
      </c>
      <c r="N267" s="1689" t="str">
        <f t="shared" si="567"/>
        <v>-</v>
      </c>
      <c r="O267" s="1049"/>
      <c r="P267" s="1050"/>
      <c r="Q267" s="1050"/>
      <c r="R267" s="1699" t="str">
        <f t="shared" si="568"/>
        <v>-</v>
      </c>
      <c r="S267" s="1049"/>
      <c r="T267" s="1050"/>
      <c r="U267" s="1048"/>
      <c r="V267" s="1699" t="str">
        <f t="shared" si="569"/>
        <v>-</v>
      </c>
      <c r="W267" s="1049"/>
      <c r="X267" s="1050"/>
      <c r="Y267" s="1048"/>
      <c r="Z267" s="1699" t="str">
        <f t="shared" si="570"/>
        <v>-</v>
      </c>
      <c r="AA267" s="1049"/>
      <c r="AB267" s="1050"/>
      <c r="AC267" s="1048"/>
      <c r="AD267" s="1699" t="str">
        <f t="shared" si="571"/>
        <v>-</v>
      </c>
      <c r="AE267" s="1049"/>
      <c r="AF267" s="1050"/>
      <c r="AG267" s="1048"/>
      <c r="AH267" s="1699" t="str">
        <f t="shared" si="572"/>
        <v>-</v>
      </c>
      <c r="AI267" s="1276">
        <f t="shared" si="607"/>
        <v>0</v>
      </c>
      <c r="AJ267" s="1277">
        <f t="shared" si="607"/>
        <v>0</v>
      </c>
      <c r="AK267" s="1277">
        <f t="shared" si="607"/>
        <v>0</v>
      </c>
      <c r="AL267" s="1689" t="str">
        <f t="shared" si="574"/>
        <v>-</v>
      </c>
      <c r="AM267" s="1049"/>
      <c r="AN267" s="1050"/>
      <c r="AO267" s="1048"/>
      <c r="AP267" s="1699" t="str">
        <f t="shared" si="575"/>
        <v>-</v>
      </c>
      <c r="AQ267" s="1049"/>
      <c r="AR267" s="1050"/>
      <c r="AS267" s="1048"/>
      <c r="AT267" s="1699" t="str">
        <f t="shared" si="576"/>
        <v>-</v>
      </c>
      <c r="AU267" s="1049"/>
      <c r="AV267" s="1050"/>
      <c r="AW267" s="1048"/>
      <c r="AX267" s="1699" t="str">
        <f t="shared" si="577"/>
        <v>-</v>
      </c>
      <c r="AY267" s="442"/>
    </row>
    <row r="268" spans="1:54" s="444" customFormat="1">
      <c r="A268" s="483">
        <f t="shared" si="608"/>
        <v>92</v>
      </c>
      <c r="B268" s="1781">
        <v>18</v>
      </c>
      <c r="C268" s="1059" t="s">
        <v>748</v>
      </c>
      <c r="D268" s="860" t="s">
        <v>747</v>
      </c>
      <c r="E268" s="1060" t="s">
        <v>1257</v>
      </c>
      <c r="F268" s="1073" t="s">
        <v>746</v>
      </c>
      <c r="G268" s="1276">
        <f t="shared" si="605"/>
        <v>0</v>
      </c>
      <c r="H268" s="1277">
        <f t="shared" si="605"/>
        <v>3140</v>
      </c>
      <c r="I268" s="1277">
        <f t="shared" si="605"/>
        <v>3140</v>
      </c>
      <c r="J268" s="1689">
        <f t="shared" si="565"/>
        <v>1</v>
      </c>
      <c r="K268" s="1276">
        <f t="shared" si="606"/>
        <v>0</v>
      </c>
      <c r="L268" s="1277">
        <f t="shared" si="606"/>
        <v>3140</v>
      </c>
      <c r="M268" s="1277">
        <f t="shared" si="606"/>
        <v>3140</v>
      </c>
      <c r="N268" s="1689">
        <f t="shared" si="567"/>
        <v>1</v>
      </c>
      <c r="O268" s="1049"/>
      <c r="P268" s="1050">
        <v>2502</v>
      </c>
      <c r="Q268" s="1050">
        <v>2502</v>
      </c>
      <c r="R268" s="1699">
        <f t="shared" si="568"/>
        <v>1</v>
      </c>
      <c r="S268" s="1049"/>
      <c r="T268" s="1050">
        <v>531</v>
      </c>
      <c r="U268" s="1048">
        <v>531</v>
      </c>
      <c r="V268" s="1699">
        <f t="shared" si="569"/>
        <v>1</v>
      </c>
      <c r="W268" s="1049"/>
      <c r="X268" s="1050">
        <f>106+1</f>
        <v>107</v>
      </c>
      <c r="Y268" s="1050">
        <f>106+1</f>
        <v>107</v>
      </c>
      <c r="Z268" s="1699">
        <f t="shared" si="570"/>
        <v>1</v>
      </c>
      <c r="AA268" s="1049"/>
      <c r="AB268" s="1050"/>
      <c r="AC268" s="1048"/>
      <c r="AD268" s="1699" t="str">
        <f t="shared" si="571"/>
        <v>-</v>
      </c>
      <c r="AE268" s="1049"/>
      <c r="AF268" s="1050"/>
      <c r="AG268" s="1048"/>
      <c r="AH268" s="1699" t="str">
        <f t="shared" si="572"/>
        <v>-</v>
      </c>
      <c r="AI268" s="1276">
        <f t="shared" si="607"/>
        <v>0</v>
      </c>
      <c r="AJ268" s="1277">
        <f t="shared" si="607"/>
        <v>0</v>
      </c>
      <c r="AK268" s="1277">
        <f t="shared" si="607"/>
        <v>0</v>
      </c>
      <c r="AL268" s="1689" t="str">
        <f t="shared" si="574"/>
        <v>-</v>
      </c>
      <c r="AM268" s="1049"/>
      <c r="AN268" s="1050"/>
      <c r="AO268" s="1048"/>
      <c r="AP268" s="1699" t="str">
        <f t="shared" si="575"/>
        <v>-</v>
      </c>
      <c r="AQ268" s="1049"/>
      <c r="AR268" s="1050"/>
      <c r="AS268" s="1048"/>
      <c r="AT268" s="1699" t="str">
        <f t="shared" si="576"/>
        <v>-</v>
      </c>
      <c r="AU268" s="1049"/>
      <c r="AV268" s="1050"/>
      <c r="AW268" s="1048"/>
      <c r="AX268" s="1699" t="str">
        <f t="shared" si="577"/>
        <v>-</v>
      </c>
      <c r="AY268" s="442"/>
    </row>
    <row r="269" spans="1:54" s="444" customFormat="1">
      <c r="A269" s="483">
        <f t="shared" si="608"/>
        <v>93</v>
      </c>
      <c r="B269" s="1781">
        <v>18</v>
      </c>
      <c r="C269" s="1059" t="s">
        <v>682</v>
      </c>
      <c r="D269" s="860" t="s">
        <v>681</v>
      </c>
      <c r="E269" s="1060" t="s">
        <v>1257</v>
      </c>
      <c r="F269" s="1073" t="s">
        <v>645</v>
      </c>
      <c r="G269" s="1276">
        <f t="shared" si="605"/>
        <v>0</v>
      </c>
      <c r="H269" s="1277">
        <f t="shared" si="605"/>
        <v>0</v>
      </c>
      <c r="I269" s="1277">
        <f t="shared" si="605"/>
        <v>0</v>
      </c>
      <c r="J269" s="1689" t="str">
        <f t="shared" si="565"/>
        <v>-</v>
      </c>
      <c r="K269" s="1276">
        <f t="shared" si="606"/>
        <v>0</v>
      </c>
      <c r="L269" s="1277">
        <f t="shared" si="606"/>
        <v>0</v>
      </c>
      <c r="M269" s="1277">
        <f t="shared" si="606"/>
        <v>0</v>
      </c>
      <c r="N269" s="1689" t="str">
        <f t="shared" si="567"/>
        <v>-</v>
      </c>
      <c r="O269" s="1049"/>
      <c r="P269" s="1050"/>
      <c r="Q269" s="1050"/>
      <c r="R269" s="1699" t="str">
        <f t="shared" si="568"/>
        <v>-</v>
      </c>
      <c r="S269" s="1049"/>
      <c r="T269" s="1050"/>
      <c r="U269" s="1048"/>
      <c r="V269" s="1699" t="str">
        <f t="shared" si="569"/>
        <v>-</v>
      </c>
      <c r="W269" s="1049"/>
      <c r="X269" s="1050"/>
      <c r="Y269" s="1048"/>
      <c r="Z269" s="1699" t="str">
        <f t="shared" si="570"/>
        <v>-</v>
      </c>
      <c r="AA269" s="1049"/>
      <c r="AB269" s="1050"/>
      <c r="AC269" s="1048"/>
      <c r="AD269" s="1699" t="str">
        <f t="shared" si="571"/>
        <v>-</v>
      </c>
      <c r="AE269" s="1049"/>
      <c r="AF269" s="1050"/>
      <c r="AG269" s="1048"/>
      <c r="AH269" s="1699" t="str">
        <f t="shared" si="572"/>
        <v>-</v>
      </c>
      <c r="AI269" s="1276">
        <f t="shared" si="607"/>
        <v>0</v>
      </c>
      <c r="AJ269" s="1277">
        <f t="shared" si="607"/>
        <v>0</v>
      </c>
      <c r="AK269" s="1277">
        <f t="shared" si="607"/>
        <v>0</v>
      </c>
      <c r="AL269" s="1689" t="str">
        <f t="shared" si="574"/>
        <v>-</v>
      </c>
      <c r="AM269" s="1049"/>
      <c r="AN269" s="1050"/>
      <c r="AO269" s="1048"/>
      <c r="AP269" s="1699" t="str">
        <f t="shared" si="575"/>
        <v>-</v>
      </c>
      <c r="AQ269" s="1049"/>
      <c r="AR269" s="1050"/>
      <c r="AS269" s="1048"/>
      <c r="AT269" s="1699" t="str">
        <f t="shared" si="576"/>
        <v>-</v>
      </c>
      <c r="AU269" s="1049"/>
      <c r="AV269" s="1050"/>
      <c r="AW269" s="1048"/>
      <c r="AX269" s="1699" t="str">
        <f t="shared" si="577"/>
        <v>-</v>
      </c>
      <c r="AY269" s="442"/>
    </row>
    <row r="270" spans="1:54" s="444" customFormat="1">
      <c r="A270" s="483">
        <f t="shared" si="608"/>
        <v>94</v>
      </c>
      <c r="B270" s="1781">
        <v>18</v>
      </c>
      <c r="C270" s="1059" t="s">
        <v>1005</v>
      </c>
      <c r="D270" s="860" t="s">
        <v>1006</v>
      </c>
      <c r="E270" s="1060" t="s">
        <v>1257</v>
      </c>
      <c r="F270" s="1073" t="s">
        <v>1007</v>
      </c>
      <c r="G270" s="1276">
        <f t="shared" si="605"/>
        <v>0</v>
      </c>
      <c r="H270" s="1277">
        <f t="shared" si="605"/>
        <v>0</v>
      </c>
      <c r="I270" s="1277">
        <f t="shared" si="605"/>
        <v>0</v>
      </c>
      <c r="J270" s="1689" t="str">
        <f t="shared" si="565"/>
        <v>-</v>
      </c>
      <c r="K270" s="1276">
        <f t="shared" si="606"/>
        <v>0</v>
      </c>
      <c r="L270" s="1277">
        <f t="shared" si="606"/>
        <v>0</v>
      </c>
      <c r="M270" s="1277">
        <f t="shared" si="606"/>
        <v>0</v>
      </c>
      <c r="N270" s="1689" t="str">
        <f t="shared" si="567"/>
        <v>-</v>
      </c>
      <c r="O270" s="1049"/>
      <c r="P270" s="1050"/>
      <c r="Q270" s="1050"/>
      <c r="R270" s="1699" t="str">
        <f t="shared" si="568"/>
        <v>-</v>
      </c>
      <c r="S270" s="1049"/>
      <c r="T270" s="1050"/>
      <c r="U270" s="1048"/>
      <c r="V270" s="1699" t="str">
        <f t="shared" si="569"/>
        <v>-</v>
      </c>
      <c r="W270" s="1049"/>
      <c r="X270" s="1050"/>
      <c r="Y270" s="1048"/>
      <c r="Z270" s="1699" t="str">
        <f t="shared" si="570"/>
        <v>-</v>
      </c>
      <c r="AA270" s="1049"/>
      <c r="AB270" s="1050"/>
      <c r="AC270" s="1048"/>
      <c r="AD270" s="1699" t="str">
        <f t="shared" si="571"/>
        <v>-</v>
      </c>
      <c r="AE270" s="1049"/>
      <c r="AF270" s="1050"/>
      <c r="AG270" s="1048"/>
      <c r="AH270" s="1699" t="str">
        <f t="shared" si="572"/>
        <v>-</v>
      </c>
      <c r="AI270" s="1276">
        <f t="shared" si="607"/>
        <v>0</v>
      </c>
      <c r="AJ270" s="1277">
        <f t="shared" si="607"/>
        <v>0</v>
      </c>
      <c r="AK270" s="1277">
        <f t="shared" si="607"/>
        <v>0</v>
      </c>
      <c r="AL270" s="1689" t="str">
        <f t="shared" si="574"/>
        <v>-</v>
      </c>
      <c r="AM270" s="1049"/>
      <c r="AN270" s="1050"/>
      <c r="AO270" s="1048"/>
      <c r="AP270" s="1699" t="str">
        <f t="shared" si="575"/>
        <v>-</v>
      </c>
      <c r="AQ270" s="1049"/>
      <c r="AR270" s="1050"/>
      <c r="AS270" s="1048"/>
      <c r="AT270" s="1699" t="str">
        <f t="shared" si="576"/>
        <v>-</v>
      </c>
      <c r="AU270" s="1049"/>
      <c r="AV270" s="1050"/>
      <c r="AW270" s="1048"/>
      <c r="AX270" s="1699" t="str">
        <f t="shared" si="577"/>
        <v>-</v>
      </c>
      <c r="AY270" s="442"/>
    </row>
    <row r="271" spans="1:54" s="449" customFormat="1" ht="12.75" thickBot="1">
      <c r="A271" s="483">
        <f t="shared" si="608"/>
        <v>95</v>
      </c>
      <c r="B271" s="1781">
        <v>18</v>
      </c>
      <c r="C271" s="1059" t="s">
        <v>1015</v>
      </c>
      <c r="D271" s="860" t="s">
        <v>1014</v>
      </c>
      <c r="E271" s="1060" t="s">
        <v>1257</v>
      </c>
      <c r="F271" s="1073" t="s">
        <v>1007</v>
      </c>
      <c r="G271" s="1282">
        <f t="shared" si="605"/>
        <v>0</v>
      </c>
      <c r="H271" s="1283">
        <f t="shared" si="605"/>
        <v>0</v>
      </c>
      <c r="I271" s="1283">
        <f t="shared" si="605"/>
        <v>0</v>
      </c>
      <c r="J271" s="1691" t="str">
        <f t="shared" si="565"/>
        <v>-</v>
      </c>
      <c r="K271" s="1282">
        <f t="shared" si="606"/>
        <v>0</v>
      </c>
      <c r="L271" s="1283">
        <f t="shared" si="606"/>
        <v>0</v>
      </c>
      <c r="M271" s="1283">
        <f t="shared" si="606"/>
        <v>0</v>
      </c>
      <c r="N271" s="1691" t="str">
        <f t="shared" si="567"/>
        <v>-</v>
      </c>
      <c r="O271" s="448"/>
      <c r="P271" s="447"/>
      <c r="Q271" s="447"/>
      <c r="R271" s="1699" t="str">
        <f t="shared" si="568"/>
        <v>-</v>
      </c>
      <c r="S271" s="448"/>
      <c r="T271" s="447"/>
      <c r="U271" s="1048"/>
      <c r="V271" s="1699" t="str">
        <f t="shared" si="569"/>
        <v>-</v>
      </c>
      <c r="W271" s="448"/>
      <c r="X271" s="447"/>
      <c r="Y271" s="1048"/>
      <c r="Z271" s="1699" t="str">
        <f t="shared" si="570"/>
        <v>-</v>
      </c>
      <c r="AA271" s="448"/>
      <c r="AB271" s="447"/>
      <c r="AC271" s="1048"/>
      <c r="AD271" s="1699" t="str">
        <f t="shared" si="571"/>
        <v>-</v>
      </c>
      <c r="AE271" s="448"/>
      <c r="AF271" s="447"/>
      <c r="AG271" s="1048"/>
      <c r="AH271" s="1699" t="str">
        <f t="shared" si="572"/>
        <v>-</v>
      </c>
      <c r="AI271" s="1282">
        <f t="shared" si="607"/>
        <v>0</v>
      </c>
      <c r="AJ271" s="1283">
        <f t="shared" si="607"/>
        <v>0</v>
      </c>
      <c r="AK271" s="1283">
        <f t="shared" si="607"/>
        <v>0</v>
      </c>
      <c r="AL271" s="1691" t="str">
        <f t="shared" si="574"/>
        <v>-</v>
      </c>
      <c r="AM271" s="448"/>
      <c r="AN271" s="447"/>
      <c r="AO271" s="1048"/>
      <c r="AP271" s="1699" t="str">
        <f t="shared" si="575"/>
        <v>-</v>
      </c>
      <c r="AQ271" s="448"/>
      <c r="AR271" s="447"/>
      <c r="AS271" s="1048"/>
      <c r="AT271" s="1699" t="str">
        <f t="shared" si="576"/>
        <v>-</v>
      </c>
      <c r="AU271" s="448"/>
      <c r="AV271" s="447"/>
      <c r="AW271" s="1048"/>
      <c r="AX271" s="1699" t="str">
        <f t="shared" si="577"/>
        <v>-</v>
      </c>
      <c r="AY271" s="442"/>
      <c r="AZ271" s="259"/>
      <c r="BA271" s="259"/>
      <c r="BB271" s="259"/>
    </row>
    <row r="272" spans="1:54" s="449" customFormat="1" ht="12.75" thickBot="1">
      <c r="A272" s="479" t="s">
        <v>753</v>
      </c>
      <c r="B272" s="1771"/>
      <c r="C272" s="1885" t="s">
        <v>875</v>
      </c>
      <c r="D272" s="1886"/>
      <c r="E272" s="1886"/>
      <c r="F272" s="1887"/>
      <c r="G272" s="469">
        <f>SUM(G265:G271)</f>
        <v>0</v>
      </c>
      <c r="H272" s="470">
        <f t="shared" ref="H272:AV272" si="609">SUM(H265:H271)</f>
        <v>7212</v>
      </c>
      <c r="I272" s="470">
        <f t="shared" si="609"/>
        <v>7212</v>
      </c>
      <c r="J272" s="1635">
        <f t="shared" si="565"/>
        <v>1</v>
      </c>
      <c r="K272" s="469">
        <f t="shared" si="609"/>
        <v>0</v>
      </c>
      <c r="L272" s="470">
        <f t="shared" si="609"/>
        <v>7212</v>
      </c>
      <c r="M272" s="470">
        <f t="shared" si="609"/>
        <v>7212</v>
      </c>
      <c r="N272" s="1635">
        <f t="shared" si="567"/>
        <v>1</v>
      </c>
      <c r="O272" s="469">
        <f t="shared" si="609"/>
        <v>0</v>
      </c>
      <c r="P272" s="470">
        <f t="shared" si="609"/>
        <v>5777</v>
      </c>
      <c r="Q272" s="470">
        <f t="shared" ref="Q272" si="610">SUM(Q265:Q271)</f>
        <v>5777</v>
      </c>
      <c r="R272" s="1638">
        <f t="shared" si="568"/>
        <v>1</v>
      </c>
      <c r="S272" s="469">
        <f t="shared" si="609"/>
        <v>0</v>
      </c>
      <c r="T272" s="470">
        <f t="shared" si="609"/>
        <v>1161</v>
      </c>
      <c r="U272" s="321">
        <f t="shared" ref="U272" si="611">SUM(U265:U271)</f>
        <v>1161</v>
      </c>
      <c r="V272" s="1638">
        <f t="shared" si="569"/>
        <v>1</v>
      </c>
      <c r="W272" s="469">
        <f t="shared" si="609"/>
        <v>0</v>
      </c>
      <c r="X272" s="470">
        <f t="shared" si="609"/>
        <v>274</v>
      </c>
      <c r="Y272" s="321">
        <f t="shared" ref="Y272" si="612">SUM(Y265:Y271)</f>
        <v>274</v>
      </c>
      <c r="Z272" s="1638">
        <f t="shared" si="570"/>
        <v>1</v>
      </c>
      <c r="AA272" s="469">
        <f t="shared" si="609"/>
        <v>0</v>
      </c>
      <c r="AB272" s="470">
        <f t="shared" si="609"/>
        <v>0</v>
      </c>
      <c r="AC272" s="321">
        <f t="shared" ref="AC272" si="613">SUM(AC265:AC271)</f>
        <v>0</v>
      </c>
      <c r="AD272" s="1638" t="str">
        <f t="shared" si="571"/>
        <v>-</v>
      </c>
      <c r="AE272" s="469">
        <f t="shared" si="609"/>
        <v>0</v>
      </c>
      <c r="AF272" s="470">
        <f t="shared" si="609"/>
        <v>0</v>
      </c>
      <c r="AG272" s="321">
        <f t="shared" ref="AG272" si="614">SUM(AG265:AG271)</f>
        <v>0</v>
      </c>
      <c r="AH272" s="1638" t="str">
        <f t="shared" si="572"/>
        <v>-</v>
      </c>
      <c r="AI272" s="469">
        <f t="shared" si="609"/>
        <v>0</v>
      </c>
      <c r="AJ272" s="470">
        <f t="shared" si="609"/>
        <v>0</v>
      </c>
      <c r="AK272" s="470">
        <f t="shared" si="609"/>
        <v>0</v>
      </c>
      <c r="AL272" s="1635" t="str">
        <f t="shared" si="574"/>
        <v>-</v>
      </c>
      <c r="AM272" s="469">
        <f t="shared" si="609"/>
        <v>0</v>
      </c>
      <c r="AN272" s="470">
        <f t="shared" si="609"/>
        <v>0</v>
      </c>
      <c r="AO272" s="321">
        <f t="shared" ref="AO272" si="615">SUM(AO265:AO271)</f>
        <v>0</v>
      </c>
      <c r="AP272" s="1638" t="str">
        <f t="shared" si="575"/>
        <v>-</v>
      </c>
      <c r="AQ272" s="469">
        <f t="shared" si="609"/>
        <v>0</v>
      </c>
      <c r="AR272" s="470">
        <f t="shared" si="609"/>
        <v>0</v>
      </c>
      <c r="AS272" s="321">
        <f t="shared" ref="AS272" si="616">SUM(AS265:AS271)</f>
        <v>0</v>
      </c>
      <c r="AT272" s="1638" t="str">
        <f t="shared" si="576"/>
        <v>-</v>
      </c>
      <c r="AU272" s="469">
        <f t="shared" si="609"/>
        <v>0</v>
      </c>
      <c r="AV272" s="470">
        <f t="shared" si="609"/>
        <v>0</v>
      </c>
      <c r="AW272" s="321">
        <f t="shared" ref="AW272" si="617">SUM(AW265:AW271)</f>
        <v>0</v>
      </c>
      <c r="AX272" s="1638" t="str">
        <f t="shared" si="577"/>
        <v>-</v>
      </c>
      <c r="AY272" s="723"/>
    </row>
    <row r="273" spans="1:54" s="449" customFormat="1" ht="12.75" thickBot="1">
      <c r="A273" s="480" t="s">
        <v>22</v>
      </c>
      <c r="B273" s="1782"/>
      <c r="C273" s="1903" t="s">
        <v>876</v>
      </c>
      <c r="D273" s="1904"/>
      <c r="E273" s="1904"/>
      <c r="F273" s="1905"/>
      <c r="G273" s="471">
        <f t="shared" ref="G273" si="618">+G260+G264+G272</f>
        <v>385308</v>
      </c>
      <c r="H273" s="472">
        <f t="shared" ref="H273:I273" si="619">+H260+H264+H272</f>
        <v>427783</v>
      </c>
      <c r="I273" s="472">
        <f t="shared" si="619"/>
        <v>418656</v>
      </c>
      <c r="J273" s="1697">
        <f t="shared" si="565"/>
        <v>0.97866441630452827</v>
      </c>
      <c r="K273" s="471">
        <f t="shared" ref="K273:AU273" si="620">+K260+K264+K272</f>
        <v>385308</v>
      </c>
      <c r="L273" s="472">
        <f t="shared" ref="L273:M273" si="621">+L260+L264+L272</f>
        <v>425335</v>
      </c>
      <c r="M273" s="472">
        <f t="shared" si="621"/>
        <v>416208</v>
      </c>
      <c r="N273" s="1697">
        <f t="shared" si="567"/>
        <v>0.97854162013471735</v>
      </c>
      <c r="O273" s="471">
        <f t="shared" si="620"/>
        <v>272433</v>
      </c>
      <c r="P273" s="472">
        <f t="shared" ref="P273:Q273" si="622">+P260+P264+P272</f>
        <v>292094</v>
      </c>
      <c r="Q273" s="454">
        <f t="shared" si="622"/>
        <v>292070</v>
      </c>
      <c r="R273" s="1692">
        <f t="shared" si="568"/>
        <v>0.99991783466966111</v>
      </c>
      <c r="S273" s="471">
        <f t="shared" si="620"/>
        <v>54811</v>
      </c>
      <c r="T273" s="472">
        <f t="shared" ref="T273:U273" si="623">+T260+T264+T272</f>
        <v>59847</v>
      </c>
      <c r="U273" s="454">
        <f t="shared" si="623"/>
        <v>59847</v>
      </c>
      <c r="V273" s="1692">
        <f t="shared" si="569"/>
        <v>1</v>
      </c>
      <c r="W273" s="471">
        <f t="shared" si="620"/>
        <v>58064</v>
      </c>
      <c r="X273" s="472">
        <f t="shared" ref="X273:Y273" si="624">+X260+X264+X272</f>
        <v>71409</v>
      </c>
      <c r="Y273" s="454">
        <f t="shared" si="624"/>
        <v>62306</v>
      </c>
      <c r="Z273" s="1692">
        <f t="shared" si="570"/>
        <v>0.87252307132154205</v>
      </c>
      <c r="AA273" s="471">
        <f t="shared" si="620"/>
        <v>0</v>
      </c>
      <c r="AB273" s="472">
        <f t="shared" ref="AB273:AC273" si="625">+AB260+AB264+AB272</f>
        <v>0</v>
      </c>
      <c r="AC273" s="454">
        <f t="shared" si="625"/>
        <v>0</v>
      </c>
      <c r="AD273" s="1692" t="str">
        <f t="shared" si="571"/>
        <v>-</v>
      </c>
      <c r="AE273" s="471">
        <f t="shared" si="620"/>
        <v>0</v>
      </c>
      <c r="AF273" s="472">
        <f t="shared" ref="AF273:AG273" si="626">+AF260+AF264+AF272</f>
        <v>1985</v>
      </c>
      <c r="AG273" s="454">
        <f t="shared" si="626"/>
        <v>1985</v>
      </c>
      <c r="AH273" s="1692">
        <f t="shared" si="572"/>
        <v>1</v>
      </c>
      <c r="AI273" s="471">
        <f t="shared" si="620"/>
        <v>0</v>
      </c>
      <c r="AJ273" s="472">
        <f t="shared" ref="AJ273:AK273" si="627">+AJ260+AJ264+AJ272</f>
        <v>2448</v>
      </c>
      <c r="AK273" s="472">
        <f t="shared" si="627"/>
        <v>2448</v>
      </c>
      <c r="AL273" s="1697">
        <f t="shared" si="574"/>
        <v>1</v>
      </c>
      <c r="AM273" s="471">
        <f t="shared" si="620"/>
        <v>0</v>
      </c>
      <c r="AN273" s="472">
        <f t="shared" ref="AN273:AO273" si="628">+AN260+AN264+AN272</f>
        <v>2448</v>
      </c>
      <c r="AO273" s="454">
        <f t="shared" si="628"/>
        <v>2448</v>
      </c>
      <c r="AP273" s="1692">
        <f t="shared" si="575"/>
        <v>1</v>
      </c>
      <c r="AQ273" s="471">
        <f t="shared" si="620"/>
        <v>0</v>
      </c>
      <c r="AR273" s="472">
        <f t="shared" ref="AR273:AS273" si="629">+AR260+AR264+AR272</f>
        <v>0</v>
      </c>
      <c r="AS273" s="454">
        <f t="shared" si="629"/>
        <v>0</v>
      </c>
      <c r="AT273" s="1692" t="str">
        <f t="shared" si="576"/>
        <v>-</v>
      </c>
      <c r="AU273" s="471">
        <f t="shared" si="620"/>
        <v>0</v>
      </c>
      <c r="AV273" s="472">
        <f t="shared" ref="AV273:AW273" si="630">+AV260+AV264+AV272</f>
        <v>0</v>
      </c>
      <c r="AW273" s="454">
        <f t="shared" si="630"/>
        <v>0</v>
      </c>
      <c r="AX273" s="1692" t="str">
        <f t="shared" si="577"/>
        <v>-</v>
      </c>
      <c r="AY273" s="723"/>
      <c r="AZ273" s="444"/>
      <c r="BA273" s="444"/>
      <c r="BB273" s="444"/>
    </row>
    <row r="274" spans="1:54" s="449" customFormat="1" ht="12.75" thickBot="1">
      <c r="A274" s="479"/>
      <c r="B274" s="1775"/>
      <c r="C274" s="833"/>
      <c r="D274" s="478"/>
      <c r="E274" s="828"/>
      <c r="F274" s="450"/>
      <c r="G274" s="469"/>
      <c r="H274" s="470"/>
      <c r="I274" s="470"/>
      <c r="J274" s="1635"/>
      <c r="K274" s="469"/>
      <c r="L274" s="470"/>
      <c r="M274" s="470"/>
      <c r="N274" s="1635"/>
      <c r="O274" s="451"/>
      <c r="P274" s="321"/>
      <c r="Q274" s="321"/>
      <c r="R274" s="1638"/>
      <c r="S274" s="451"/>
      <c r="T274" s="321"/>
      <c r="U274" s="321"/>
      <c r="V274" s="1638"/>
      <c r="W274" s="451"/>
      <c r="X274" s="321"/>
      <c r="Y274" s="321"/>
      <c r="Z274" s="1638"/>
      <c r="AA274" s="451"/>
      <c r="AB274" s="321"/>
      <c r="AC274" s="321"/>
      <c r="AD274" s="1638"/>
      <c r="AE274" s="451"/>
      <c r="AF274" s="321"/>
      <c r="AG274" s="321"/>
      <c r="AH274" s="1638"/>
      <c r="AI274" s="469"/>
      <c r="AJ274" s="470"/>
      <c r="AK274" s="470"/>
      <c r="AL274" s="1635"/>
      <c r="AM274" s="451"/>
      <c r="AN274" s="321"/>
      <c r="AO274" s="321"/>
      <c r="AP274" s="1638"/>
      <c r="AQ274" s="451"/>
      <c r="AR274" s="321"/>
      <c r="AS274" s="321"/>
      <c r="AT274" s="1638"/>
      <c r="AU274" s="451"/>
      <c r="AV274" s="321"/>
      <c r="AW274" s="321"/>
      <c r="AX274" s="1638"/>
      <c r="AY274" s="443"/>
      <c r="AZ274" s="444"/>
      <c r="BA274" s="444"/>
      <c r="BB274" s="444"/>
    </row>
    <row r="275" spans="1:54">
      <c r="A275" s="483">
        <f>+A271+1</f>
        <v>96</v>
      </c>
      <c r="B275" s="1781">
        <v>19</v>
      </c>
      <c r="C275" s="1059" t="s">
        <v>1087</v>
      </c>
      <c r="D275" s="860" t="s">
        <v>1088</v>
      </c>
      <c r="E275" s="1060" t="s">
        <v>1257</v>
      </c>
      <c r="F275" s="1073" t="s">
        <v>1089</v>
      </c>
      <c r="G275" s="1280">
        <f t="shared" ref="G275:I280" si="631">+K275+AI275</f>
        <v>279433</v>
      </c>
      <c r="H275" s="1281">
        <f t="shared" si="631"/>
        <v>291845</v>
      </c>
      <c r="I275" s="1281">
        <f t="shared" si="631"/>
        <v>271352</v>
      </c>
      <c r="J275" s="1668">
        <f t="shared" ref="J275:J286" si="632">IF(ISERROR(I275/H275),"-",I275/H275)</f>
        <v>0.92978121948294468</v>
      </c>
      <c r="K275" s="1280">
        <f t="shared" ref="K275:M280" si="633">+O275+S275+W275+AA275+AE275</f>
        <v>278633</v>
      </c>
      <c r="L275" s="1281">
        <f t="shared" si="633"/>
        <v>291230</v>
      </c>
      <c r="M275" s="1281">
        <f t="shared" si="633"/>
        <v>270737</v>
      </c>
      <c r="N275" s="1668">
        <f t="shared" ref="N275:N286" si="634">IF(ISERROR(M275/L275),"-",M275/L275)</f>
        <v>0.92963293616729048</v>
      </c>
      <c r="O275" s="1047">
        <v>206947</v>
      </c>
      <c r="P275" s="1048">
        <f>200553+11393</f>
        <v>211946</v>
      </c>
      <c r="Q275" s="1048">
        <v>200553</v>
      </c>
      <c r="R275" s="1699">
        <f t="shared" ref="R275:R286" si="635">IF(ISERROR(Q275/P275),"-",Q275/P275)</f>
        <v>0.94624574183990262</v>
      </c>
      <c r="S275" s="1047">
        <v>45351</v>
      </c>
      <c r="T275" s="1048">
        <f>41639+9100</f>
        <v>50739</v>
      </c>
      <c r="U275" s="1048">
        <v>41639</v>
      </c>
      <c r="V275" s="1699">
        <f t="shared" ref="V275:V286" si="636">IF(ISERROR(U275/T275),"-",U275/T275)</f>
        <v>0.82065078145016657</v>
      </c>
      <c r="W275" s="1047">
        <v>26335</v>
      </c>
      <c r="X275" s="1048">
        <v>28545</v>
      </c>
      <c r="Y275" s="1048">
        <v>28545</v>
      </c>
      <c r="Z275" s="1699">
        <f t="shared" ref="Z275:Z286" si="637">IF(ISERROR(Y275/X275),"-",Y275/X275)</f>
        <v>1</v>
      </c>
      <c r="AA275" s="1047"/>
      <c r="AB275" s="1048"/>
      <c r="AC275" s="1048"/>
      <c r="AD275" s="1699" t="str">
        <f t="shared" ref="AD275:AD286" si="638">IF(ISERROR(AC275/AB275),"-",AC275/AB275)</f>
        <v>-</v>
      </c>
      <c r="AE275" s="1047"/>
      <c r="AF275" s="1048"/>
      <c r="AG275" s="1048"/>
      <c r="AH275" s="1699" t="str">
        <f t="shared" ref="AH275:AH286" si="639">IF(ISERROR(AG275/AF275),"-",AG275/AF275)</f>
        <v>-</v>
      </c>
      <c r="AI275" s="1280">
        <f t="shared" ref="AI275:AK280" si="640">+AM275+AQ275+AU275</f>
        <v>800</v>
      </c>
      <c r="AJ275" s="1281">
        <f t="shared" si="640"/>
        <v>615</v>
      </c>
      <c r="AK275" s="1281">
        <f t="shared" si="640"/>
        <v>615</v>
      </c>
      <c r="AL275" s="1668">
        <f t="shared" ref="AL275:AL286" si="641">IF(ISERROR(AK275/AJ275),"-",AK275/AJ275)</f>
        <v>1</v>
      </c>
      <c r="AM275" s="1047">
        <v>800</v>
      </c>
      <c r="AN275" s="1048">
        <v>615</v>
      </c>
      <c r="AO275" s="1048">
        <v>615</v>
      </c>
      <c r="AP275" s="1699">
        <f t="shared" ref="AP275:AP286" si="642">IF(ISERROR(AO275/AN275),"-",AO275/AN275)</f>
        <v>1</v>
      </c>
      <c r="AQ275" s="1047"/>
      <c r="AR275" s="1048"/>
      <c r="AS275" s="1048"/>
      <c r="AT275" s="1699" t="str">
        <f t="shared" ref="AT275:AT286" si="643">IF(ISERROR(AS275/AR275),"-",AS275/AR275)</f>
        <v>-</v>
      </c>
      <c r="AU275" s="1047"/>
      <c r="AV275" s="1048"/>
      <c r="AW275" s="1048"/>
      <c r="AX275" s="1699" t="str">
        <f t="shared" ref="AX275:AX286" si="644">IF(ISERROR(AW275/AV275),"-",AW275/AV275)</f>
        <v>-</v>
      </c>
      <c r="AY275" s="442"/>
    </row>
    <row r="276" spans="1:54">
      <c r="A276" s="483">
        <f>+A275+1</f>
        <v>97</v>
      </c>
      <c r="B276" s="1781">
        <v>20</v>
      </c>
      <c r="C276" s="1059" t="s">
        <v>1090</v>
      </c>
      <c r="D276" s="860" t="s">
        <v>1091</v>
      </c>
      <c r="E276" s="1060" t="s">
        <v>1271</v>
      </c>
      <c r="F276" s="1073" t="s">
        <v>1096</v>
      </c>
      <c r="G276" s="1280">
        <f t="shared" si="631"/>
        <v>25236</v>
      </c>
      <c r="H276" s="1281">
        <f t="shared" si="631"/>
        <v>34123</v>
      </c>
      <c r="I276" s="1281">
        <f t="shared" si="631"/>
        <v>34123</v>
      </c>
      <c r="J276" s="1668">
        <f t="shared" si="632"/>
        <v>1</v>
      </c>
      <c r="K276" s="1280">
        <f t="shared" si="633"/>
        <v>25236</v>
      </c>
      <c r="L276" s="1281">
        <f t="shared" si="633"/>
        <v>28927</v>
      </c>
      <c r="M276" s="1281">
        <f t="shared" si="633"/>
        <v>28927</v>
      </c>
      <c r="N276" s="1668">
        <f t="shared" si="634"/>
        <v>1</v>
      </c>
      <c r="O276" s="1047"/>
      <c r="P276" s="1048"/>
      <c r="Q276" s="1048"/>
      <c r="R276" s="1699" t="str">
        <f t="shared" si="635"/>
        <v>-</v>
      </c>
      <c r="S276" s="1049"/>
      <c r="T276" s="1050"/>
      <c r="U276" s="1048"/>
      <c r="V276" s="1699" t="str">
        <f t="shared" si="636"/>
        <v>-</v>
      </c>
      <c r="W276" s="1049">
        <v>25236</v>
      </c>
      <c r="X276" s="1050">
        <f>82565-53638</f>
        <v>28927</v>
      </c>
      <c r="Y276" s="1050">
        <f>82565-53638</f>
        <v>28927</v>
      </c>
      <c r="Z276" s="1699">
        <f t="shared" si="637"/>
        <v>1</v>
      </c>
      <c r="AA276" s="1049"/>
      <c r="AB276" s="1050"/>
      <c r="AC276" s="1048"/>
      <c r="AD276" s="1699" t="str">
        <f t="shared" si="638"/>
        <v>-</v>
      </c>
      <c r="AE276" s="1049"/>
      <c r="AF276" s="1050"/>
      <c r="AG276" s="1048"/>
      <c r="AH276" s="1699" t="str">
        <f t="shared" si="639"/>
        <v>-</v>
      </c>
      <c r="AI276" s="1280">
        <f t="shared" si="640"/>
        <v>0</v>
      </c>
      <c r="AJ276" s="1281">
        <f t="shared" si="640"/>
        <v>5196</v>
      </c>
      <c r="AK276" s="1281">
        <f t="shared" si="640"/>
        <v>5196</v>
      </c>
      <c r="AL276" s="1668">
        <f t="shared" si="641"/>
        <v>1</v>
      </c>
      <c r="AM276" s="1049"/>
      <c r="AN276" s="1050">
        <v>5196</v>
      </c>
      <c r="AO276" s="1048">
        <v>5196</v>
      </c>
      <c r="AP276" s="1699">
        <f t="shared" si="642"/>
        <v>1</v>
      </c>
      <c r="AQ276" s="1049"/>
      <c r="AR276" s="1050"/>
      <c r="AS276" s="1048"/>
      <c r="AT276" s="1699" t="str">
        <f t="shared" si="643"/>
        <v>-</v>
      </c>
      <c r="AU276" s="1049"/>
      <c r="AV276" s="1050"/>
      <c r="AW276" s="1048"/>
      <c r="AX276" s="1699" t="str">
        <f t="shared" si="644"/>
        <v>-</v>
      </c>
      <c r="AY276" s="442"/>
    </row>
    <row r="277" spans="1:54">
      <c r="A277" s="483">
        <f>+A276+1</f>
        <v>98</v>
      </c>
      <c r="B277" s="1781">
        <v>20</v>
      </c>
      <c r="C277" s="1059" t="s">
        <v>1090</v>
      </c>
      <c r="D277" s="860" t="s">
        <v>1091</v>
      </c>
      <c r="E277" s="1060" t="s">
        <v>1272</v>
      </c>
      <c r="F277" s="1073" t="s">
        <v>1097</v>
      </c>
      <c r="G277" s="1280">
        <f t="shared" si="631"/>
        <v>53915</v>
      </c>
      <c r="H277" s="1281">
        <f t="shared" si="631"/>
        <v>58849</v>
      </c>
      <c r="I277" s="1281">
        <f t="shared" si="631"/>
        <v>53638</v>
      </c>
      <c r="J277" s="1668">
        <f t="shared" si="632"/>
        <v>0.91145134156910057</v>
      </c>
      <c r="K277" s="1280">
        <f t="shared" si="633"/>
        <v>53915</v>
      </c>
      <c r="L277" s="1281">
        <f t="shared" si="633"/>
        <v>58849</v>
      </c>
      <c r="M277" s="1281">
        <f t="shared" si="633"/>
        <v>53638</v>
      </c>
      <c r="N277" s="1668">
        <f t="shared" si="634"/>
        <v>0.91145134156910057</v>
      </c>
      <c r="O277" s="1047"/>
      <c r="P277" s="1048"/>
      <c r="Q277" s="1048"/>
      <c r="R277" s="1699" t="str">
        <f t="shared" si="635"/>
        <v>-</v>
      </c>
      <c r="S277" s="1049"/>
      <c r="T277" s="1050"/>
      <c r="U277" s="1048"/>
      <c r="V277" s="1699" t="str">
        <f t="shared" si="636"/>
        <v>-</v>
      </c>
      <c r="W277" s="1049">
        <v>53915</v>
      </c>
      <c r="X277" s="1050">
        <f>53638+5211</f>
        <v>58849</v>
      </c>
      <c r="Y277" s="1048">
        <v>53638</v>
      </c>
      <c r="Z277" s="1699">
        <f t="shared" si="637"/>
        <v>0.91145134156910057</v>
      </c>
      <c r="AA277" s="1049"/>
      <c r="AB277" s="1050"/>
      <c r="AC277" s="1048"/>
      <c r="AD277" s="1699" t="str">
        <f t="shared" si="638"/>
        <v>-</v>
      </c>
      <c r="AE277" s="1049"/>
      <c r="AF277" s="1050"/>
      <c r="AG277" s="1048"/>
      <c r="AH277" s="1699" t="str">
        <f t="shared" si="639"/>
        <v>-</v>
      </c>
      <c r="AI277" s="1280">
        <f t="shared" si="640"/>
        <v>0</v>
      </c>
      <c r="AJ277" s="1281">
        <f t="shared" si="640"/>
        <v>0</v>
      </c>
      <c r="AK277" s="1281">
        <f t="shared" si="640"/>
        <v>0</v>
      </c>
      <c r="AL277" s="1668" t="str">
        <f t="shared" si="641"/>
        <v>-</v>
      </c>
      <c r="AM277" s="1049"/>
      <c r="AN277" s="1050"/>
      <c r="AO277" s="1048"/>
      <c r="AP277" s="1699" t="str">
        <f t="shared" si="642"/>
        <v>-</v>
      </c>
      <c r="AQ277" s="1049"/>
      <c r="AR277" s="1050"/>
      <c r="AS277" s="1048"/>
      <c r="AT277" s="1699" t="str">
        <f t="shared" si="643"/>
        <v>-</v>
      </c>
      <c r="AU277" s="1049"/>
      <c r="AV277" s="1050"/>
      <c r="AW277" s="1048"/>
      <c r="AX277" s="1699" t="str">
        <f t="shared" si="644"/>
        <v>-</v>
      </c>
      <c r="AY277" s="442"/>
    </row>
    <row r="278" spans="1:54" s="449" customFormat="1">
      <c r="A278" s="483">
        <f t="shared" ref="A278:A280" si="645">+A277+1</f>
        <v>99</v>
      </c>
      <c r="B278" s="1781">
        <v>21</v>
      </c>
      <c r="C278" s="1059" t="s">
        <v>1092</v>
      </c>
      <c r="D278" s="860" t="s">
        <v>1191</v>
      </c>
      <c r="E278" s="1060" t="s">
        <v>1273</v>
      </c>
      <c r="F278" s="1073" t="s">
        <v>581</v>
      </c>
      <c r="G278" s="1280">
        <f t="shared" si="631"/>
        <v>38536</v>
      </c>
      <c r="H278" s="1281">
        <f t="shared" si="631"/>
        <v>38976</v>
      </c>
      <c r="I278" s="1281">
        <f t="shared" si="631"/>
        <v>38976</v>
      </c>
      <c r="J278" s="1668">
        <f t="shared" si="632"/>
        <v>1</v>
      </c>
      <c r="K278" s="1280">
        <f t="shared" si="633"/>
        <v>38536</v>
      </c>
      <c r="L278" s="1281">
        <f t="shared" si="633"/>
        <v>38092</v>
      </c>
      <c r="M278" s="1281">
        <f t="shared" si="633"/>
        <v>38092</v>
      </c>
      <c r="N278" s="1668">
        <f t="shared" si="634"/>
        <v>1</v>
      </c>
      <c r="O278" s="1047">
        <v>28774</v>
      </c>
      <c r="P278" s="1048">
        <v>28616</v>
      </c>
      <c r="Q278" s="1048">
        <v>28616</v>
      </c>
      <c r="R278" s="1699">
        <f t="shared" si="635"/>
        <v>1</v>
      </c>
      <c r="S278" s="1049">
        <v>5671</v>
      </c>
      <c r="T278" s="1050">
        <v>5646</v>
      </c>
      <c r="U278" s="1048">
        <v>5646</v>
      </c>
      <c r="V278" s="1699">
        <f t="shared" si="636"/>
        <v>1</v>
      </c>
      <c r="W278" s="1049">
        <v>4091</v>
      </c>
      <c r="X278" s="1050">
        <v>3830</v>
      </c>
      <c r="Y278" s="1048">
        <v>3830</v>
      </c>
      <c r="Z278" s="1699">
        <f t="shared" si="637"/>
        <v>1</v>
      </c>
      <c r="AA278" s="1049"/>
      <c r="AB278" s="1050"/>
      <c r="AC278" s="1048"/>
      <c r="AD278" s="1699" t="str">
        <f t="shared" si="638"/>
        <v>-</v>
      </c>
      <c r="AE278" s="1049"/>
      <c r="AF278" s="1050"/>
      <c r="AG278" s="1048"/>
      <c r="AH278" s="1699" t="str">
        <f t="shared" si="639"/>
        <v>-</v>
      </c>
      <c r="AI278" s="1280">
        <f t="shared" si="640"/>
        <v>0</v>
      </c>
      <c r="AJ278" s="1281">
        <f t="shared" si="640"/>
        <v>884</v>
      </c>
      <c r="AK278" s="1281">
        <f t="shared" si="640"/>
        <v>884</v>
      </c>
      <c r="AL278" s="1668">
        <f t="shared" si="641"/>
        <v>1</v>
      </c>
      <c r="AM278" s="1049"/>
      <c r="AN278" s="1050">
        <v>884</v>
      </c>
      <c r="AO278" s="1048">
        <v>884</v>
      </c>
      <c r="AP278" s="1699">
        <f t="shared" si="642"/>
        <v>1</v>
      </c>
      <c r="AQ278" s="1049"/>
      <c r="AR278" s="1050"/>
      <c r="AS278" s="1048"/>
      <c r="AT278" s="1699" t="str">
        <f t="shared" si="643"/>
        <v>-</v>
      </c>
      <c r="AU278" s="1049"/>
      <c r="AV278" s="1050"/>
      <c r="AW278" s="1048"/>
      <c r="AX278" s="1699" t="str">
        <f t="shared" si="644"/>
        <v>-</v>
      </c>
      <c r="AY278" s="442"/>
      <c r="AZ278" s="259"/>
      <c r="BA278" s="259"/>
      <c r="BB278" s="259"/>
    </row>
    <row r="279" spans="1:54">
      <c r="A279" s="483">
        <f t="shared" si="645"/>
        <v>100</v>
      </c>
      <c r="B279" s="1781">
        <v>20</v>
      </c>
      <c r="C279" s="1059" t="s">
        <v>1093</v>
      </c>
      <c r="D279" s="860" t="s">
        <v>1094</v>
      </c>
      <c r="E279" s="1060" t="s">
        <v>1274</v>
      </c>
      <c r="F279" s="1073" t="s">
        <v>1095</v>
      </c>
      <c r="G279" s="1280">
        <f t="shared" si="631"/>
        <v>3030</v>
      </c>
      <c r="H279" s="1281">
        <f t="shared" si="631"/>
        <v>3334</v>
      </c>
      <c r="I279" s="1281">
        <f t="shared" si="631"/>
        <v>3334</v>
      </c>
      <c r="J279" s="1668">
        <f t="shared" si="632"/>
        <v>1</v>
      </c>
      <c r="K279" s="1280">
        <f t="shared" si="633"/>
        <v>3030</v>
      </c>
      <c r="L279" s="1281">
        <f t="shared" si="633"/>
        <v>3334</v>
      </c>
      <c r="M279" s="1281">
        <f t="shared" si="633"/>
        <v>3334</v>
      </c>
      <c r="N279" s="1668">
        <f t="shared" si="634"/>
        <v>1</v>
      </c>
      <c r="O279" s="1047"/>
      <c r="P279" s="1048"/>
      <c r="Q279" s="1048"/>
      <c r="R279" s="1699" t="str">
        <f t="shared" si="635"/>
        <v>-</v>
      </c>
      <c r="S279" s="1049"/>
      <c r="T279" s="1050"/>
      <c r="U279" s="1048"/>
      <c r="V279" s="1699" t="str">
        <f t="shared" si="636"/>
        <v>-</v>
      </c>
      <c r="W279" s="1049">
        <v>3030</v>
      </c>
      <c r="X279" s="1050">
        <v>3334</v>
      </c>
      <c r="Y279" s="1048">
        <v>3334</v>
      </c>
      <c r="Z279" s="1699">
        <f t="shared" si="637"/>
        <v>1</v>
      </c>
      <c r="AA279" s="1049"/>
      <c r="AB279" s="1050"/>
      <c r="AC279" s="1048"/>
      <c r="AD279" s="1699" t="str">
        <f t="shared" si="638"/>
        <v>-</v>
      </c>
      <c r="AE279" s="1049"/>
      <c r="AF279" s="1050"/>
      <c r="AG279" s="1048"/>
      <c r="AH279" s="1699" t="str">
        <f t="shared" si="639"/>
        <v>-</v>
      </c>
      <c r="AI279" s="1280">
        <f t="shared" si="640"/>
        <v>0</v>
      </c>
      <c r="AJ279" s="1281">
        <f t="shared" si="640"/>
        <v>0</v>
      </c>
      <c r="AK279" s="1281">
        <f t="shared" si="640"/>
        <v>0</v>
      </c>
      <c r="AL279" s="1668" t="str">
        <f t="shared" si="641"/>
        <v>-</v>
      </c>
      <c r="AM279" s="1049"/>
      <c r="AN279" s="1050"/>
      <c r="AO279" s="1048"/>
      <c r="AP279" s="1699" t="str">
        <f t="shared" si="642"/>
        <v>-</v>
      </c>
      <c r="AQ279" s="1049"/>
      <c r="AR279" s="1050"/>
      <c r="AS279" s="1048"/>
      <c r="AT279" s="1699" t="str">
        <f t="shared" si="643"/>
        <v>-</v>
      </c>
      <c r="AU279" s="1049"/>
      <c r="AV279" s="1050"/>
      <c r="AW279" s="1048"/>
      <c r="AX279" s="1699" t="str">
        <f t="shared" si="644"/>
        <v>-</v>
      </c>
      <c r="AY279" s="442"/>
    </row>
    <row r="280" spans="1:54" ht="12.75" thickBot="1">
      <c r="A280" s="483">
        <f t="shared" si="645"/>
        <v>101</v>
      </c>
      <c r="B280" s="1781">
        <v>19</v>
      </c>
      <c r="C280" s="1059" t="s">
        <v>1011</v>
      </c>
      <c r="D280" s="860" t="s">
        <v>1012</v>
      </c>
      <c r="E280" s="1060" t="s">
        <v>1257</v>
      </c>
      <c r="F280" s="1073" t="s">
        <v>1089</v>
      </c>
      <c r="G280" s="1280">
        <f t="shared" si="631"/>
        <v>0</v>
      </c>
      <c r="H280" s="1281">
        <f t="shared" si="631"/>
        <v>206</v>
      </c>
      <c r="I280" s="1281">
        <f t="shared" si="631"/>
        <v>206</v>
      </c>
      <c r="J280" s="1668">
        <f t="shared" si="632"/>
        <v>1</v>
      </c>
      <c r="K280" s="1280">
        <f t="shared" si="633"/>
        <v>0</v>
      </c>
      <c r="L280" s="1281">
        <f t="shared" si="633"/>
        <v>206</v>
      </c>
      <c r="M280" s="1281">
        <f t="shared" si="633"/>
        <v>206</v>
      </c>
      <c r="N280" s="1668">
        <f t="shared" si="634"/>
        <v>1</v>
      </c>
      <c r="O280" s="1047"/>
      <c r="P280" s="1048"/>
      <c r="Q280" s="1048"/>
      <c r="R280" s="1699" t="str">
        <f t="shared" si="635"/>
        <v>-</v>
      </c>
      <c r="S280" s="1049"/>
      <c r="T280" s="1050"/>
      <c r="U280" s="1048"/>
      <c r="V280" s="1699" t="str">
        <f t="shared" si="636"/>
        <v>-</v>
      </c>
      <c r="W280" s="1049"/>
      <c r="X280" s="1050"/>
      <c r="Y280" s="1048"/>
      <c r="Z280" s="1699" t="str">
        <f t="shared" si="637"/>
        <v>-</v>
      </c>
      <c r="AA280" s="1049"/>
      <c r="AB280" s="1050"/>
      <c r="AC280" s="1048"/>
      <c r="AD280" s="1699" t="str">
        <f t="shared" si="638"/>
        <v>-</v>
      </c>
      <c r="AE280" s="1049"/>
      <c r="AF280" s="1050">
        <f>0+206</f>
        <v>206</v>
      </c>
      <c r="AG280" s="1048">
        <v>206</v>
      </c>
      <c r="AH280" s="1699">
        <f t="shared" si="639"/>
        <v>1</v>
      </c>
      <c r="AI280" s="1280">
        <f t="shared" si="640"/>
        <v>0</v>
      </c>
      <c r="AJ280" s="1281">
        <f t="shared" si="640"/>
        <v>0</v>
      </c>
      <c r="AK280" s="1281">
        <f t="shared" si="640"/>
        <v>0</v>
      </c>
      <c r="AL280" s="1668" t="str">
        <f t="shared" si="641"/>
        <v>-</v>
      </c>
      <c r="AM280" s="1049"/>
      <c r="AN280" s="1050"/>
      <c r="AO280" s="1048"/>
      <c r="AP280" s="1699" t="str">
        <f t="shared" si="642"/>
        <v>-</v>
      </c>
      <c r="AQ280" s="1049"/>
      <c r="AR280" s="1050"/>
      <c r="AS280" s="1048"/>
      <c r="AT280" s="1699" t="str">
        <f t="shared" si="643"/>
        <v>-</v>
      </c>
      <c r="AU280" s="1049"/>
      <c r="AV280" s="1050"/>
      <c r="AW280" s="1048"/>
      <c r="AX280" s="1699" t="str">
        <f t="shared" si="644"/>
        <v>-</v>
      </c>
      <c r="AY280" s="442"/>
    </row>
    <row r="281" spans="1:54" ht="12.75" customHeight="1" thickBot="1">
      <c r="A281" s="479" t="s">
        <v>754</v>
      </c>
      <c r="B281" s="1771"/>
      <c r="C281" s="1906" t="s">
        <v>418</v>
      </c>
      <c r="D281" s="1907"/>
      <c r="E281" s="1907"/>
      <c r="F281" s="1908"/>
      <c r="G281" s="469">
        <f>SUM(G275:G280)</f>
        <v>400150</v>
      </c>
      <c r="H281" s="470">
        <f>SUM(H275:H280)</f>
        <v>427333</v>
      </c>
      <c r="I281" s="470">
        <f>SUM(I275:I280)</f>
        <v>401629</v>
      </c>
      <c r="J281" s="1635">
        <f t="shared" si="632"/>
        <v>0.93985018709062951</v>
      </c>
      <c r="K281" s="469">
        <f t="shared" ref="K281" si="646">SUM(K275:K280)</f>
        <v>399350</v>
      </c>
      <c r="L281" s="470">
        <f t="shared" ref="L281:M281" si="647">SUM(L275:L280)</f>
        <v>420638</v>
      </c>
      <c r="M281" s="470">
        <f t="shared" si="647"/>
        <v>394934</v>
      </c>
      <c r="N281" s="1635">
        <f t="shared" si="634"/>
        <v>0.93889282470913227</v>
      </c>
      <c r="O281" s="451">
        <f t="shared" ref="O281:AU281" si="648">SUM(O275:O280)</f>
        <v>235721</v>
      </c>
      <c r="P281" s="321">
        <f t="shared" ref="P281:Q281" si="649">SUM(P275:P280)</f>
        <v>240562</v>
      </c>
      <c r="Q281" s="321">
        <f t="shared" si="649"/>
        <v>229169</v>
      </c>
      <c r="R281" s="1638">
        <f t="shared" si="635"/>
        <v>0.95264006784113864</v>
      </c>
      <c r="S281" s="451">
        <f t="shared" si="648"/>
        <v>51022</v>
      </c>
      <c r="T281" s="321">
        <f t="shared" ref="T281:U281" si="650">SUM(T275:T280)</f>
        <v>56385</v>
      </c>
      <c r="U281" s="321">
        <f t="shared" si="650"/>
        <v>47285</v>
      </c>
      <c r="V281" s="1638">
        <f t="shared" si="636"/>
        <v>0.83860955927995029</v>
      </c>
      <c r="W281" s="451">
        <f t="shared" si="648"/>
        <v>112607</v>
      </c>
      <c r="X281" s="321">
        <f t="shared" ref="X281:Y281" si="651">SUM(X275:X280)</f>
        <v>123485</v>
      </c>
      <c r="Y281" s="321">
        <f t="shared" si="651"/>
        <v>118274</v>
      </c>
      <c r="Z281" s="1638">
        <f t="shared" si="637"/>
        <v>0.95780054257602143</v>
      </c>
      <c r="AA281" s="451">
        <f t="shared" si="648"/>
        <v>0</v>
      </c>
      <c r="AB281" s="321">
        <f t="shared" ref="AB281:AC281" si="652">SUM(AB275:AB280)</f>
        <v>0</v>
      </c>
      <c r="AC281" s="321">
        <f t="shared" si="652"/>
        <v>0</v>
      </c>
      <c r="AD281" s="1638" t="str">
        <f t="shared" si="638"/>
        <v>-</v>
      </c>
      <c r="AE281" s="451">
        <f t="shared" si="648"/>
        <v>0</v>
      </c>
      <c r="AF281" s="321">
        <f t="shared" ref="AF281:AG281" si="653">SUM(AF275:AF280)</f>
        <v>206</v>
      </c>
      <c r="AG281" s="321">
        <f t="shared" si="653"/>
        <v>206</v>
      </c>
      <c r="AH281" s="1638">
        <f t="shared" si="639"/>
        <v>1</v>
      </c>
      <c r="AI281" s="469">
        <f t="shared" si="648"/>
        <v>800</v>
      </c>
      <c r="AJ281" s="470">
        <f t="shared" ref="AJ281:AK281" si="654">SUM(AJ275:AJ280)</f>
        <v>6695</v>
      </c>
      <c r="AK281" s="470">
        <f t="shared" si="654"/>
        <v>6695</v>
      </c>
      <c r="AL281" s="1635">
        <f t="shared" si="641"/>
        <v>1</v>
      </c>
      <c r="AM281" s="451">
        <f t="shared" si="648"/>
        <v>800</v>
      </c>
      <c r="AN281" s="321">
        <f t="shared" ref="AN281:AO281" si="655">SUM(AN275:AN280)</f>
        <v>6695</v>
      </c>
      <c r="AO281" s="321">
        <f t="shared" si="655"/>
        <v>6695</v>
      </c>
      <c r="AP281" s="1638">
        <f t="shared" si="642"/>
        <v>1</v>
      </c>
      <c r="AQ281" s="451">
        <f t="shared" si="648"/>
        <v>0</v>
      </c>
      <c r="AR281" s="321">
        <f t="shared" ref="AR281:AS281" si="656">SUM(AR275:AR280)</f>
        <v>0</v>
      </c>
      <c r="AS281" s="321">
        <f t="shared" si="656"/>
        <v>0</v>
      </c>
      <c r="AT281" s="1638" t="str">
        <f t="shared" si="643"/>
        <v>-</v>
      </c>
      <c r="AU281" s="451">
        <f t="shared" si="648"/>
        <v>0</v>
      </c>
      <c r="AV281" s="321">
        <f t="shared" ref="AV281:AW281" si="657">SUM(AV275:AV280)</f>
        <v>0</v>
      </c>
      <c r="AW281" s="321">
        <f t="shared" si="657"/>
        <v>0</v>
      </c>
      <c r="AX281" s="1638" t="str">
        <f t="shared" si="644"/>
        <v>-</v>
      </c>
      <c r="AY281" s="443"/>
      <c r="AZ281" s="449"/>
      <c r="BA281" s="449"/>
      <c r="BB281" s="449"/>
    </row>
    <row r="282" spans="1:54" ht="12.75" customHeight="1" thickBot="1">
      <c r="A282" s="485">
        <f>+A280+1</f>
        <v>102</v>
      </c>
      <c r="B282" s="1785">
        <v>22</v>
      </c>
      <c r="C282" s="834" t="s">
        <v>19</v>
      </c>
      <c r="D282" s="1074" t="s">
        <v>19</v>
      </c>
      <c r="E282" s="829" t="s">
        <v>19</v>
      </c>
      <c r="F282" s="1074" t="s">
        <v>19</v>
      </c>
      <c r="G282" s="1286">
        <f>+K282+AI282</f>
        <v>0</v>
      </c>
      <c r="H282" s="1287">
        <f>+L282+AJ282</f>
        <v>0</v>
      </c>
      <c r="I282" s="1287">
        <f>+M282+AK282</f>
        <v>0</v>
      </c>
      <c r="J282" s="1695" t="str">
        <f t="shared" si="632"/>
        <v>-</v>
      </c>
      <c r="K282" s="1286">
        <f>+O282+S282+W282+AA282+AE282</f>
        <v>0</v>
      </c>
      <c r="L282" s="1287">
        <f>+P282+T282+X282+AB282+AF282</f>
        <v>0</v>
      </c>
      <c r="M282" s="1287">
        <f>+Q282+U282+Y282+AC282+AG282</f>
        <v>0</v>
      </c>
      <c r="N282" s="1695" t="str">
        <f t="shared" si="634"/>
        <v>-</v>
      </c>
      <c r="O282" s="448"/>
      <c r="P282" s="447"/>
      <c r="Q282" s="447"/>
      <c r="R282" s="1702" t="str">
        <f t="shared" si="635"/>
        <v>-</v>
      </c>
      <c r="S282" s="448"/>
      <c r="T282" s="447"/>
      <c r="U282" s="447"/>
      <c r="V282" s="1702" t="str">
        <f t="shared" si="636"/>
        <v>-</v>
      </c>
      <c r="W282" s="448"/>
      <c r="X282" s="447"/>
      <c r="Y282" s="447"/>
      <c r="Z282" s="1702" t="str">
        <f t="shared" si="637"/>
        <v>-</v>
      </c>
      <c r="AA282" s="448"/>
      <c r="AB282" s="447"/>
      <c r="AC282" s="447"/>
      <c r="AD282" s="1702" t="str">
        <f t="shared" si="638"/>
        <v>-</v>
      </c>
      <c r="AE282" s="448"/>
      <c r="AF282" s="447"/>
      <c r="AG282" s="447"/>
      <c r="AH282" s="1702" t="str">
        <f t="shared" si="639"/>
        <v>-</v>
      </c>
      <c r="AI282" s="1286">
        <f>+AM282+AQ282+AU282</f>
        <v>0</v>
      </c>
      <c r="AJ282" s="1287">
        <f>+AN282+AR282+AV282</f>
        <v>0</v>
      </c>
      <c r="AK282" s="1287">
        <f>+AO282+AS282+AW282</f>
        <v>0</v>
      </c>
      <c r="AL282" s="1695" t="str">
        <f t="shared" si="641"/>
        <v>-</v>
      </c>
      <c r="AM282" s="448"/>
      <c r="AN282" s="447"/>
      <c r="AO282" s="447"/>
      <c r="AP282" s="1702" t="str">
        <f t="shared" si="642"/>
        <v>-</v>
      </c>
      <c r="AQ282" s="448"/>
      <c r="AR282" s="447"/>
      <c r="AS282" s="447"/>
      <c r="AT282" s="1702" t="str">
        <f t="shared" si="643"/>
        <v>-</v>
      </c>
      <c r="AU282" s="448"/>
      <c r="AV282" s="447"/>
      <c r="AW282" s="447"/>
      <c r="AX282" s="1702" t="str">
        <f t="shared" si="644"/>
        <v>-</v>
      </c>
      <c r="AY282" s="442"/>
      <c r="AZ282" s="449"/>
      <c r="BA282" s="449"/>
      <c r="BB282" s="449"/>
    </row>
    <row r="283" spans="1:54" s="440" customFormat="1" ht="12.75" customHeight="1" thickBot="1">
      <c r="A283" s="766" t="s">
        <v>755</v>
      </c>
      <c r="B283" s="1771"/>
      <c r="C283" s="1906" t="s">
        <v>419</v>
      </c>
      <c r="D283" s="1907"/>
      <c r="E283" s="1907"/>
      <c r="F283" s="1908"/>
      <c r="G283" s="469">
        <f>SUM(G282)</f>
        <v>0</v>
      </c>
      <c r="H283" s="470">
        <f>SUM(H282)</f>
        <v>0</v>
      </c>
      <c r="I283" s="470">
        <f>SUM(I282)</f>
        <v>0</v>
      </c>
      <c r="J283" s="1635" t="str">
        <f t="shared" si="632"/>
        <v>-</v>
      </c>
      <c r="K283" s="469">
        <f t="shared" ref="K283" si="658">SUM(K282)</f>
        <v>0</v>
      </c>
      <c r="L283" s="470">
        <f t="shared" ref="L283:M283" si="659">SUM(L282)</f>
        <v>0</v>
      </c>
      <c r="M283" s="470">
        <f t="shared" si="659"/>
        <v>0</v>
      </c>
      <c r="N283" s="1635" t="str">
        <f t="shared" si="634"/>
        <v>-</v>
      </c>
      <c r="O283" s="451">
        <f t="shared" ref="O283:AU283" si="660">SUM(O282)</f>
        <v>0</v>
      </c>
      <c r="P283" s="321">
        <f t="shared" ref="P283:Q283" si="661">SUM(P282)</f>
        <v>0</v>
      </c>
      <c r="Q283" s="321">
        <f t="shared" si="661"/>
        <v>0</v>
      </c>
      <c r="R283" s="1638" t="str">
        <f t="shared" si="635"/>
        <v>-</v>
      </c>
      <c r="S283" s="451">
        <f t="shared" si="660"/>
        <v>0</v>
      </c>
      <c r="T283" s="321">
        <f t="shared" ref="T283:U283" si="662">SUM(T282)</f>
        <v>0</v>
      </c>
      <c r="U283" s="321">
        <f t="shared" si="662"/>
        <v>0</v>
      </c>
      <c r="V283" s="1638" t="str">
        <f t="shared" si="636"/>
        <v>-</v>
      </c>
      <c r="W283" s="451">
        <f t="shared" si="660"/>
        <v>0</v>
      </c>
      <c r="X283" s="321">
        <f t="shared" ref="X283:Y283" si="663">SUM(X282)</f>
        <v>0</v>
      </c>
      <c r="Y283" s="321">
        <f t="shared" si="663"/>
        <v>0</v>
      </c>
      <c r="Z283" s="1638" t="str">
        <f t="shared" si="637"/>
        <v>-</v>
      </c>
      <c r="AA283" s="451">
        <f t="shared" si="660"/>
        <v>0</v>
      </c>
      <c r="AB283" s="321">
        <f t="shared" ref="AB283:AC283" si="664">SUM(AB282)</f>
        <v>0</v>
      </c>
      <c r="AC283" s="321">
        <f t="shared" si="664"/>
        <v>0</v>
      </c>
      <c r="AD283" s="1638" t="str">
        <f t="shared" si="638"/>
        <v>-</v>
      </c>
      <c r="AE283" s="451">
        <f t="shared" si="660"/>
        <v>0</v>
      </c>
      <c r="AF283" s="321">
        <f t="shared" ref="AF283:AG283" si="665">SUM(AF282)</f>
        <v>0</v>
      </c>
      <c r="AG283" s="321">
        <f t="shared" si="665"/>
        <v>0</v>
      </c>
      <c r="AH283" s="1638" t="str">
        <f t="shared" si="639"/>
        <v>-</v>
      </c>
      <c r="AI283" s="469">
        <f t="shared" si="660"/>
        <v>0</v>
      </c>
      <c r="AJ283" s="470">
        <f t="shared" ref="AJ283:AK283" si="666">SUM(AJ282)</f>
        <v>0</v>
      </c>
      <c r="AK283" s="470">
        <f t="shared" si="666"/>
        <v>0</v>
      </c>
      <c r="AL283" s="1635" t="str">
        <f t="shared" si="641"/>
        <v>-</v>
      </c>
      <c r="AM283" s="451">
        <f t="shared" si="660"/>
        <v>0</v>
      </c>
      <c r="AN283" s="321">
        <f t="shared" ref="AN283:AO283" si="667">SUM(AN282)</f>
        <v>0</v>
      </c>
      <c r="AO283" s="321">
        <f t="shared" si="667"/>
        <v>0</v>
      </c>
      <c r="AP283" s="1638" t="str">
        <f t="shared" si="642"/>
        <v>-</v>
      </c>
      <c r="AQ283" s="451">
        <f t="shared" si="660"/>
        <v>0</v>
      </c>
      <c r="AR283" s="321">
        <f t="shared" ref="AR283:AS283" si="668">SUM(AR282)</f>
        <v>0</v>
      </c>
      <c r="AS283" s="321">
        <f t="shared" si="668"/>
        <v>0</v>
      </c>
      <c r="AT283" s="1638" t="str">
        <f t="shared" si="643"/>
        <v>-</v>
      </c>
      <c r="AU283" s="451">
        <f t="shared" si="660"/>
        <v>0</v>
      </c>
      <c r="AV283" s="321">
        <f t="shared" ref="AV283:AW283" si="669">SUM(AV282)</f>
        <v>0</v>
      </c>
      <c r="AW283" s="321">
        <f t="shared" si="669"/>
        <v>0</v>
      </c>
      <c r="AX283" s="1638" t="str">
        <f t="shared" si="644"/>
        <v>-</v>
      </c>
      <c r="AY283" s="443"/>
      <c r="AZ283" s="449"/>
      <c r="BA283" s="449"/>
      <c r="BB283" s="449"/>
    </row>
    <row r="284" spans="1:54" ht="12.75" customHeight="1" thickBot="1">
      <c r="A284" s="485">
        <f>+A282+1</f>
        <v>103</v>
      </c>
      <c r="B284" s="1785">
        <v>23</v>
      </c>
      <c r="C284" s="834" t="s">
        <v>19</v>
      </c>
      <c r="D284" s="1074" t="s">
        <v>19</v>
      </c>
      <c r="E284" s="829" t="s">
        <v>19</v>
      </c>
      <c r="F284" s="1074" t="s">
        <v>19</v>
      </c>
      <c r="G284" s="1286">
        <f>+K284+AI284</f>
        <v>0</v>
      </c>
      <c r="H284" s="1287">
        <f>+L284+AJ284</f>
        <v>0</v>
      </c>
      <c r="I284" s="1287">
        <f>+M284+AK284</f>
        <v>0</v>
      </c>
      <c r="J284" s="1695" t="str">
        <f t="shared" si="632"/>
        <v>-</v>
      </c>
      <c r="K284" s="1286">
        <f>+O284+S284+W284+AA284+AE284</f>
        <v>0</v>
      </c>
      <c r="L284" s="1287">
        <f>+P284+T284+X284+AB284+AF284</f>
        <v>0</v>
      </c>
      <c r="M284" s="1287">
        <f>+Q284+U284+Y284+AC284+AG284</f>
        <v>0</v>
      </c>
      <c r="N284" s="1695" t="str">
        <f t="shared" si="634"/>
        <v>-</v>
      </c>
      <c r="O284" s="448"/>
      <c r="P284" s="447"/>
      <c r="Q284" s="447"/>
      <c r="R284" s="1702" t="str">
        <f t="shared" si="635"/>
        <v>-</v>
      </c>
      <c r="S284" s="448"/>
      <c r="T284" s="447"/>
      <c r="U284" s="447"/>
      <c r="V284" s="1702" t="str">
        <f t="shared" si="636"/>
        <v>-</v>
      </c>
      <c r="W284" s="448"/>
      <c r="X284" s="447"/>
      <c r="Y284" s="447"/>
      <c r="Z284" s="1702" t="str">
        <f t="shared" si="637"/>
        <v>-</v>
      </c>
      <c r="AA284" s="448"/>
      <c r="AB284" s="447"/>
      <c r="AC284" s="447"/>
      <c r="AD284" s="1702" t="str">
        <f t="shared" si="638"/>
        <v>-</v>
      </c>
      <c r="AE284" s="448"/>
      <c r="AF284" s="447"/>
      <c r="AG284" s="447"/>
      <c r="AH284" s="1702" t="str">
        <f t="shared" si="639"/>
        <v>-</v>
      </c>
      <c r="AI284" s="1286">
        <f>+AM284+AQ284+AU284</f>
        <v>0</v>
      </c>
      <c r="AJ284" s="1287">
        <f>+AN284+AR284+AV284</f>
        <v>0</v>
      </c>
      <c r="AK284" s="1287">
        <f>+AO284+AS284+AW284</f>
        <v>0</v>
      </c>
      <c r="AL284" s="1695" t="str">
        <f t="shared" si="641"/>
        <v>-</v>
      </c>
      <c r="AM284" s="448"/>
      <c r="AN284" s="447"/>
      <c r="AO284" s="447"/>
      <c r="AP284" s="1702" t="str">
        <f t="shared" si="642"/>
        <v>-</v>
      </c>
      <c r="AQ284" s="448"/>
      <c r="AR284" s="447"/>
      <c r="AS284" s="447"/>
      <c r="AT284" s="1702" t="str">
        <f t="shared" si="643"/>
        <v>-</v>
      </c>
      <c r="AU284" s="448"/>
      <c r="AV284" s="447"/>
      <c r="AW284" s="447"/>
      <c r="AX284" s="1702" t="str">
        <f t="shared" si="644"/>
        <v>-</v>
      </c>
      <c r="AY284" s="442"/>
      <c r="AZ284" s="449"/>
      <c r="BA284" s="449"/>
      <c r="BB284" s="449"/>
    </row>
    <row r="285" spans="1:54" s="440" customFormat="1" ht="12.75" customHeight="1" thickBot="1">
      <c r="A285" s="479" t="s">
        <v>756</v>
      </c>
      <c r="B285" s="1771"/>
      <c r="C285" s="1906" t="s">
        <v>773</v>
      </c>
      <c r="D285" s="1907"/>
      <c r="E285" s="1907"/>
      <c r="F285" s="1908"/>
      <c r="G285" s="469">
        <f>SUM(G284)</f>
        <v>0</v>
      </c>
      <c r="H285" s="470">
        <f>SUM(H284)</f>
        <v>0</v>
      </c>
      <c r="I285" s="470">
        <f>SUM(I284)</f>
        <v>0</v>
      </c>
      <c r="J285" s="1635" t="str">
        <f t="shared" si="632"/>
        <v>-</v>
      </c>
      <c r="K285" s="469">
        <f t="shared" ref="K285" si="670">SUM(K284)</f>
        <v>0</v>
      </c>
      <c r="L285" s="470">
        <f t="shared" ref="L285:M285" si="671">SUM(L284)</f>
        <v>0</v>
      </c>
      <c r="M285" s="470">
        <f t="shared" si="671"/>
        <v>0</v>
      </c>
      <c r="N285" s="1635" t="str">
        <f t="shared" si="634"/>
        <v>-</v>
      </c>
      <c r="O285" s="451">
        <f t="shared" ref="O285:AU285" si="672">SUM(O284)</f>
        <v>0</v>
      </c>
      <c r="P285" s="321">
        <f t="shared" ref="P285:Q285" si="673">SUM(P284)</f>
        <v>0</v>
      </c>
      <c r="Q285" s="321">
        <f t="shared" si="673"/>
        <v>0</v>
      </c>
      <c r="R285" s="1638" t="str">
        <f t="shared" si="635"/>
        <v>-</v>
      </c>
      <c r="S285" s="451">
        <f t="shared" si="672"/>
        <v>0</v>
      </c>
      <c r="T285" s="321">
        <f t="shared" ref="T285:U285" si="674">SUM(T284)</f>
        <v>0</v>
      </c>
      <c r="U285" s="321">
        <f t="shared" si="674"/>
        <v>0</v>
      </c>
      <c r="V285" s="1638" t="str">
        <f t="shared" si="636"/>
        <v>-</v>
      </c>
      <c r="W285" s="451">
        <f t="shared" si="672"/>
        <v>0</v>
      </c>
      <c r="X285" s="321">
        <f t="shared" ref="X285:Y285" si="675">SUM(X284)</f>
        <v>0</v>
      </c>
      <c r="Y285" s="321">
        <f t="shared" si="675"/>
        <v>0</v>
      </c>
      <c r="Z285" s="1638" t="str">
        <f t="shared" si="637"/>
        <v>-</v>
      </c>
      <c r="AA285" s="451">
        <f t="shared" si="672"/>
        <v>0</v>
      </c>
      <c r="AB285" s="321">
        <f t="shared" ref="AB285:AC285" si="676">SUM(AB284)</f>
        <v>0</v>
      </c>
      <c r="AC285" s="321">
        <f t="shared" si="676"/>
        <v>0</v>
      </c>
      <c r="AD285" s="1638" t="str">
        <f t="shared" si="638"/>
        <v>-</v>
      </c>
      <c r="AE285" s="451">
        <f t="shared" si="672"/>
        <v>0</v>
      </c>
      <c r="AF285" s="321">
        <f t="shared" ref="AF285:AG285" si="677">SUM(AF284)</f>
        <v>0</v>
      </c>
      <c r="AG285" s="321">
        <f t="shared" si="677"/>
        <v>0</v>
      </c>
      <c r="AH285" s="1638" t="str">
        <f t="shared" si="639"/>
        <v>-</v>
      </c>
      <c r="AI285" s="469">
        <f t="shared" si="672"/>
        <v>0</v>
      </c>
      <c r="AJ285" s="470">
        <f t="shared" ref="AJ285:AK285" si="678">SUM(AJ284)</f>
        <v>0</v>
      </c>
      <c r="AK285" s="470">
        <f t="shared" si="678"/>
        <v>0</v>
      </c>
      <c r="AL285" s="1635" t="str">
        <f t="shared" si="641"/>
        <v>-</v>
      </c>
      <c r="AM285" s="451">
        <f t="shared" si="672"/>
        <v>0</v>
      </c>
      <c r="AN285" s="321">
        <f t="shared" ref="AN285:AO285" si="679">SUM(AN284)</f>
        <v>0</v>
      </c>
      <c r="AO285" s="321">
        <f t="shared" si="679"/>
        <v>0</v>
      </c>
      <c r="AP285" s="1638" t="str">
        <f t="shared" si="642"/>
        <v>-</v>
      </c>
      <c r="AQ285" s="451">
        <f t="shared" si="672"/>
        <v>0</v>
      </c>
      <c r="AR285" s="321">
        <f t="shared" ref="AR285:AS285" si="680">SUM(AR284)</f>
        <v>0</v>
      </c>
      <c r="AS285" s="321">
        <f t="shared" si="680"/>
        <v>0</v>
      </c>
      <c r="AT285" s="1638" t="str">
        <f t="shared" si="643"/>
        <v>-</v>
      </c>
      <c r="AU285" s="451">
        <f t="shared" si="672"/>
        <v>0</v>
      </c>
      <c r="AV285" s="321">
        <f t="shared" ref="AV285:AW285" si="681">SUM(AV284)</f>
        <v>0</v>
      </c>
      <c r="AW285" s="321">
        <f t="shared" si="681"/>
        <v>0</v>
      </c>
      <c r="AX285" s="1638" t="str">
        <f t="shared" si="644"/>
        <v>-</v>
      </c>
      <c r="AY285" s="443"/>
      <c r="AZ285" s="449"/>
      <c r="BA285" s="449"/>
      <c r="BB285" s="449"/>
    </row>
    <row r="286" spans="1:54" s="440" customFormat="1" ht="12.75" customHeight="1" thickBot="1">
      <c r="A286" s="480" t="s">
        <v>21</v>
      </c>
      <c r="B286" s="1782"/>
      <c r="C286" s="1900" t="s">
        <v>420</v>
      </c>
      <c r="D286" s="1901"/>
      <c r="E286" s="1901"/>
      <c r="F286" s="1902"/>
      <c r="G286" s="453">
        <f>+G281+G283+G285</f>
        <v>400150</v>
      </c>
      <c r="H286" s="454">
        <f>+H281+H283+H285</f>
        <v>427333</v>
      </c>
      <c r="I286" s="454">
        <f>+I281+I283+I285</f>
        <v>401629</v>
      </c>
      <c r="J286" s="1692">
        <f t="shared" si="632"/>
        <v>0.93985018709062951</v>
      </c>
      <c r="K286" s="453">
        <f t="shared" ref="K286" si="682">+K281+K283+K285</f>
        <v>399350</v>
      </c>
      <c r="L286" s="454">
        <f t="shared" ref="L286:M286" si="683">+L281+L283+L285</f>
        <v>420638</v>
      </c>
      <c r="M286" s="454">
        <f t="shared" si="683"/>
        <v>394934</v>
      </c>
      <c r="N286" s="1692">
        <f t="shared" si="634"/>
        <v>0.93889282470913227</v>
      </c>
      <c r="O286" s="453">
        <f t="shared" ref="O286:AU286" si="684">+O281+O283+O285</f>
        <v>235721</v>
      </c>
      <c r="P286" s="454">
        <f t="shared" ref="P286:Q286" si="685">+P281+P283+P285</f>
        <v>240562</v>
      </c>
      <c r="Q286" s="464">
        <f t="shared" si="685"/>
        <v>229169</v>
      </c>
      <c r="R286" s="1696">
        <f t="shared" si="635"/>
        <v>0.95264006784113864</v>
      </c>
      <c r="S286" s="453">
        <f t="shared" si="684"/>
        <v>51022</v>
      </c>
      <c r="T286" s="454">
        <f t="shared" ref="T286:U286" si="686">+T281+T283+T285</f>
        <v>56385</v>
      </c>
      <c r="U286" s="464">
        <f t="shared" si="686"/>
        <v>47285</v>
      </c>
      <c r="V286" s="1696">
        <f t="shared" si="636"/>
        <v>0.83860955927995029</v>
      </c>
      <c r="W286" s="453">
        <f t="shared" si="684"/>
        <v>112607</v>
      </c>
      <c r="X286" s="454">
        <f t="shared" ref="X286:Y286" si="687">+X281+X283+X285</f>
        <v>123485</v>
      </c>
      <c r="Y286" s="464">
        <f t="shared" si="687"/>
        <v>118274</v>
      </c>
      <c r="Z286" s="1696">
        <f t="shared" si="637"/>
        <v>0.95780054257602143</v>
      </c>
      <c r="AA286" s="453">
        <f t="shared" si="684"/>
        <v>0</v>
      </c>
      <c r="AB286" s="454">
        <f t="shared" ref="AB286:AC286" si="688">+AB281+AB283+AB285</f>
        <v>0</v>
      </c>
      <c r="AC286" s="464">
        <f t="shared" si="688"/>
        <v>0</v>
      </c>
      <c r="AD286" s="1696" t="str">
        <f t="shared" si="638"/>
        <v>-</v>
      </c>
      <c r="AE286" s="453">
        <f t="shared" si="684"/>
        <v>0</v>
      </c>
      <c r="AF286" s="454">
        <f t="shared" ref="AF286:AG286" si="689">+AF281+AF283+AF285</f>
        <v>206</v>
      </c>
      <c r="AG286" s="464">
        <f t="shared" si="689"/>
        <v>206</v>
      </c>
      <c r="AH286" s="1696">
        <f t="shared" si="639"/>
        <v>1</v>
      </c>
      <c r="AI286" s="453">
        <f t="shared" si="684"/>
        <v>800</v>
      </c>
      <c r="AJ286" s="454">
        <f t="shared" ref="AJ286:AK286" si="690">+AJ281+AJ283+AJ285</f>
        <v>6695</v>
      </c>
      <c r="AK286" s="454">
        <f t="shared" si="690"/>
        <v>6695</v>
      </c>
      <c r="AL286" s="1692">
        <f t="shared" si="641"/>
        <v>1</v>
      </c>
      <c r="AM286" s="453">
        <f t="shared" si="684"/>
        <v>800</v>
      </c>
      <c r="AN286" s="454">
        <f t="shared" ref="AN286:AO286" si="691">+AN281+AN283+AN285</f>
        <v>6695</v>
      </c>
      <c r="AO286" s="464">
        <f t="shared" si="691"/>
        <v>6695</v>
      </c>
      <c r="AP286" s="1696">
        <f t="shared" si="642"/>
        <v>1</v>
      </c>
      <c r="AQ286" s="453">
        <f t="shared" si="684"/>
        <v>0</v>
      </c>
      <c r="AR286" s="454">
        <f t="shared" ref="AR286:AS286" si="692">+AR281+AR283+AR285</f>
        <v>0</v>
      </c>
      <c r="AS286" s="464">
        <f t="shared" si="692"/>
        <v>0</v>
      </c>
      <c r="AT286" s="1696" t="str">
        <f t="shared" si="643"/>
        <v>-</v>
      </c>
      <c r="AU286" s="453">
        <f t="shared" si="684"/>
        <v>0</v>
      </c>
      <c r="AV286" s="454">
        <f t="shared" ref="AV286:AW286" si="693">+AV281+AV283+AV285</f>
        <v>0</v>
      </c>
      <c r="AW286" s="464">
        <f t="shared" si="693"/>
        <v>0</v>
      </c>
      <c r="AX286" s="1696" t="str">
        <f t="shared" si="644"/>
        <v>-</v>
      </c>
      <c r="AY286" s="723"/>
      <c r="AZ286" s="449"/>
      <c r="BA286" s="449"/>
      <c r="BB286" s="449"/>
    </row>
    <row r="287" spans="1:54" s="440" customFormat="1" ht="12.75" thickBot="1">
      <c r="A287" s="479"/>
      <c r="B287" s="1775"/>
      <c r="C287" s="833"/>
      <c r="D287" s="478"/>
      <c r="E287" s="828"/>
      <c r="F287" s="450"/>
      <c r="G287" s="469"/>
      <c r="H287" s="470"/>
      <c r="I287" s="470"/>
      <c r="J287" s="1635"/>
      <c r="K287" s="469"/>
      <c r="L287" s="470"/>
      <c r="M287" s="470"/>
      <c r="N287" s="1635"/>
      <c r="O287" s="460"/>
      <c r="P287" s="461"/>
      <c r="Q287" s="321"/>
      <c r="R287" s="1638"/>
      <c r="S287" s="460"/>
      <c r="T287" s="461"/>
      <c r="U287" s="321"/>
      <c r="V287" s="1638"/>
      <c r="W287" s="460"/>
      <c r="X287" s="461"/>
      <c r="Y287" s="321"/>
      <c r="Z287" s="1638"/>
      <c r="AA287" s="460"/>
      <c r="AB287" s="461"/>
      <c r="AC287" s="321"/>
      <c r="AD287" s="1638"/>
      <c r="AE287" s="460"/>
      <c r="AF287" s="461"/>
      <c r="AG287" s="321"/>
      <c r="AH287" s="1638"/>
      <c r="AI287" s="469"/>
      <c r="AJ287" s="470"/>
      <c r="AK287" s="470"/>
      <c r="AL287" s="1635"/>
      <c r="AM287" s="460"/>
      <c r="AN287" s="461"/>
      <c r="AO287" s="321"/>
      <c r="AP287" s="1638"/>
      <c r="AQ287" s="460"/>
      <c r="AR287" s="461"/>
      <c r="AS287" s="321"/>
      <c r="AT287" s="1638"/>
      <c r="AU287" s="460"/>
      <c r="AV287" s="461"/>
      <c r="AW287" s="321"/>
      <c r="AX287" s="1638"/>
      <c r="AY287" s="443"/>
      <c r="AZ287" s="259"/>
      <c r="BA287" s="259"/>
      <c r="BB287" s="259"/>
    </row>
    <row r="288" spans="1:54">
      <c r="A288" s="483">
        <f>+A284+1</f>
        <v>104</v>
      </c>
      <c r="B288" s="1781">
        <v>24</v>
      </c>
      <c r="C288" s="1059" t="s">
        <v>1098</v>
      </c>
      <c r="D288" s="860" t="s">
        <v>1099</v>
      </c>
      <c r="E288" s="1060" t="s">
        <v>1257</v>
      </c>
      <c r="F288" s="1073" t="s">
        <v>1099</v>
      </c>
      <c r="G288" s="1280">
        <f t="shared" ref="G288:I292" si="694">+K288+AI288</f>
        <v>1470</v>
      </c>
      <c r="H288" s="1281">
        <f t="shared" si="694"/>
        <v>1956</v>
      </c>
      <c r="I288" s="1281">
        <f t="shared" si="694"/>
        <v>1956</v>
      </c>
      <c r="J288" s="1668">
        <f t="shared" ref="J288:J298" si="695">IF(ISERROR(I288/H288),"-",I288/H288)</f>
        <v>1</v>
      </c>
      <c r="K288" s="1280">
        <f t="shared" ref="K288:M292" si="696">+O288+S288+W288+AA288+AE288</f>
        <v>1470</v>
      </c>
      <c r="L288" s="1281">
        <f t="shared" si="696"/>
        <v>1956</v>
      </c>
      <c r="M288" s="1281">
        <f t="shared" si="696"/>
        <v>1956</v>
      </c>
      <c r="N288" s="1668">
        <f t="shared" ref="N288:N298" si="697">IF(ISERROR(M288/L288),"-",M288/L288)</f>
        <v>1</v>
      </c>
      <c r="O288" s="1047"/>
      <c r="P288" s="1048"/>
      <c r="Q288" s="1048"/>
      <c r="R288" s="1699" t="str">
        <f t="shared" ref="R288:R298" si="698">IF(ISERROR(Q288/P288),"-",Q288/P288)</f>
        <v>-</v>
      </c>
      <c r="S288" s="1047"/>
      <c r="T288" s="1048"/>
      <c r="U288" s="1048"/>
      <c r="V288" s="1699" t="str">
        <f t="shared" ref="V288:V298" si="699">IF(ISERROR(U288/T288),"-",U288/T288)</f>
        <v>-</v>
      </c>
      <c r="W288" s="1047">
        <v>1470</v>
      </c>
      <c r="X288" s="1048">
        <v>1956</v>
      </c>
      <c r="Y288" s="1048">
        <v>1956</v>
      </c>
      <c r="Z288" s="1699">
        <f t="shared" ref="Z288:Z298" si="700">IF(ISERROR(Y288/X288),"-",Y288/X288)</f>
        <v>1</v>
      </c>
      <c r="AA288" s="1047"/>
      <c r="AB288" s="1048"/>
      <c r="AC288" s="1048"/>
      <c r="AD288" s="1699" t="str">
        <f t="shared" ref="AD288:AD298" si="701">IF(ISERROR(AC288/AB288),"-",AC288/AB288)</f>
        <v>-</v>
      </c>
      <c r="AE288" s="1047"/>
      <c r="AF288" s="1048"/>
      <c r="AG288" s="1048"/>
      <c r="AH288" s="1699" t="str">
        <f t="shared" ref="AH288:AH298" si="702">IF(ISERROR(AG288/AF288),"-",AG288/AF288)</f>
        <v>-</v>
      </c>
      <c r="AI288" s="1280">
        <f t="shared" ref="AI288:AK292" si="703">+AM288+AQ288+AU288</f>
        <v>0</v>
      </c>
      <c r="AJ288" s="1281">
        <f t="shared" si="703"/>
        <v>0</v>
      </c>
      <c r="AK288" s="1281">
        <f t="shared" si="703"/>
        <v>0</v>
      </c>
      <c r="AL288" s="1668" t="str">
        <f t="shared" ref="AL288:AL298" si="704">IF(ISERROR(AK288/AJ288),"-",AK288/AJ288)</f>
        <v>-</v>
      </c>
      <c r="AM288" s="1047"/>
      <c r="AN288" s="1048"/>
      <c r="AO288" s="1048"/>
      <c r="AP288" s="1699" t="str">
        <f t="shared" ref="AP288:AP298" si="705">IF(ISERROR(AO288/AN288),"-",AO288/AN288)</f>
        <v>-</v>
      </c>
      <c r="AQ288" s="1047"/>
      <c r="AR288" s="1048"/>
      <c r="AS288" s="1048"/>
      <c r="AT288" s="1699" t="str">
        <f t="shared" ref="AT288:AT298" si="706">IF(ISERROR(AS288/AR288),"-",AS288/AR288)</f>
        <v>-</v>
      </c>
      <c r="AU288" s="1047"/>
      <c r="AV288" s="1048"/>
      <c r="AW288" s="1048"/>
      <c r="AX288" s="1699" t="str">
        <f t="shared" ref="AX288:AX298" si="707">IF(ISERROR(AW288/AV288),"-",AW288/AV288)</f>
        <v>-</v>
      </c>
      <c r="AY288" s="442"/>
    </row>
    <row r="289" spans="1:54">
      <c r="A289" s="483">
        <f>+A288+1</f>
        <v>105</v>
      </c>
      <c r="B289" s="1781">
        <v>25</v>
      </c>
      <c r="C289" s="1059" t="s">
        <v>1101</v>
      </c>
      <c r="D289" s="860" t="s">
        <v>1100</v>
      </c>
      <c r="E289" s="1060" t="s">
        <v>1257</v>
      </c>
      <c r="F289" s="1073" t="s">
        <v>1100</v>
      </c>
      <c r="G289" s="1280">
        <f t="shared" si="694"/>
        <v>19729</v>
      </c>
      <c r="H289" s="1281">
        <f t="shared" si="694"/>
        <v>14298</v>
      </c>
      <c r="I289" s="1281">
        <f t="shared" si="694"/>
        <v>14298</v>
      </c>
      <c r="J289" s="1668">
        <f t="shared" si="695"/>
        <v>1</v>
      </c>
      <c r="K289" s="1280">
        <f t="shared" si="696"/>
        <v>17602</v>
      </c>
      <c r="L289" s="1281">
        <f t="shared" si="696"/>
        <v>14298</v>
      </c>
      <c r="M289" s="1281">
        <f t="shared" si="696"/>
        <v>14298</v>
      </c>
      <c r="N289" s="1668">
        <f t="shared" si="697"/>
        <v>1</v>
      </c>
      <c r="O289" s="1047">
        <v>11003</v>
      </c>
      <c r="P289" s="1048">
        <v>9420</v>
      </c>
      <c r="Q289" s="1048">
        <v>9420</v>
      </c>
      <c r="R289" s="1699">
        <f t="shared" si="698"/>
        <v>1</v>
      </c>
      <c r="S289" s="1049">
        <v>2117</v>
      </c>
      <c r="T289" s="1050">
        <v>1768</v>
      </c>
      <c r="U289" s="1050">
        <v>1768</v>
      </c>
      <c r="V289" s="1699">
        <f t="shared" si="699"/>
        <v>1</v>
      </c>
      <c r="W289" s="1049">
        <v>4482</v>
      </c>
      <c r="X289" s="1050">
        <v>3110</v>
      </c>
      <c r="Y289" s="1050">
        <v>3110</v>
      </c>
      <c r="Z289" s="1699">
        <f t="shared" si="700"/>
        <v>1</v>
      </c>
      <c r="AA289" s="1049"/>
      <c r="AB289" s="1050"/>
      <c r="AC289" s="1048"/>
      <c r="AD289" s="1699" t="str">
        <f t="shared" si="701"/>
        <v>-</v>
      </c>
      <c r="AE289" s="1049"/>
      <c r="AF289" s="1050"/>
      <c r="AG289" s="1048"/>
      <c r="AH289" s="1699" t="str">
        <f t="shared" si="702"/>
        <v>-</v>
      </c>
      <c r="AI289" s="1280">
        <f t="shared" si="703"/>
        <v>2127</v>
      </c>
      <c r="AJ289" s="1281">
        <f t="shared" si="703"/>
        <v>0</v>
      </c>
      <c r="AK289" s="1281">
        <f t="shared" si="703"/>
        <v>0</v>
      </c>
      <c r="AL289" s="1668" t="str">
        <f t="shared" si="704"/>
        <v>-</v>
      </c>
      <c r="AM289" s="1049">
        <v>2127</v>
      </c>
      <c r="AN289" s="1050">
        <v>0</v>
      </c>
      <c r="AO289" s="1048"/>
      <c r="AP289" s="1699" t="str">
        <f t="shared" si="705"/>
        <v>-</v>
      </c>
      <c r="AQ289" s="1049"/>
      <c r="AR289" s="1050"/>
      <c r="AS289" s="1048"/>
      <c r="AT289" s="1699" t="str">
        <f t="shared" si="706"/>
        <v>-</v>
      </c>
      <c r="AU289" s="1049"/>
      <c r="AV289" s="1050"/>
      <c r="AW289" s="1048"/>
      <c r="AX289" s="1699" t="str">
        <f t="shared" si="707"/>
        <v>-</v>
      </c>
      <c r="AY289" s="442"/>
    </row>
    <row r="290" spans="1:54">
      <c r="A290" s="483">
        <f t="shared" ref="A290:A292" si="708">+A289+1</f>
        <v>106</v>
      </c>
      <c r="B290" s="1781">
        <v>26</v>
      </c>
      <c r="C290" s="1059" t="s">
        <v>1103</v>
      </c>
      <c r="D290" s="860" t="s">
        <v>1102</v>
      </c>
      <c r="E290" s="1060" t="s">
        <v>1275</v>
      </c>
      <c r="F290" s="1073" t="s">
        <v>1106</v>
      </c>
      <c r="G290" s="1280">
        <f t="shared" si="694"/>
        <v>6547</v>
      </c>
      <c r="H290" s="1281">
        <f t="shared" si="694"/>
        <v>7182</v>
      </c>
      <c r="I290" s="1281">
        <f t="shared" si="694"/>
        <v>7182</v>
      </c>
      <c r="J290" s="1668">
        <f t="shared" si="695"/>
        <v>1</v>
      </c>
      <c r="K290" s="1280">
        <f t="shared" si="696"/>
        <v>6293</v>
      </c>
      <c r="L290" s="1281">
        <f t="shared" si="696"/>
        <v>7182</v>
      </c>
      <c r="M290" s="1281">
        <f>+Q290+U290+Y290+AC290+AG290</f>
        <v>7182</v>
      </c>
      <c r="N290" s="1668">
        <f t="shared" si="697"/>
        <v>1</v>
      </c>
      <c r="O290" s="1047">
        <v>3208</v>
      </c>
      <c r="P290" s="1048">
        <f>4256+3</f>
        <v>4259</v>
      </c>
      <c r="Q290" s="1048">
        <f>4256+3</f>
        <v>4259</v>
      </c>
      <c r="R290" s="1699">
        <f t="shared" si="698"/>
        <v>1</v>
      </c>
      <c r="S290" s="1049">
        <v>633</v>
      </c>
      <c r="T290" s="1050">
        <f>797+1</f>
        <v>798</v>
      </c>
      <c r="U290" s="1050">
        <f>797+1</f>
        <v>798</v>
      </c>
      <c r="V290" s="1699">
        <f t="shared" si="699"/>
        <v>1</v>
      </c>
      <c r="W290" s="1049">
        <v>2452</v>
      </c>
      <c r="X290" s="1050">
        <f>1474+651</f>
        <v>2125</v>
      </c>
      <c r="Y290" s="1050">
        <f>1474+651</f>
        <v>2125</v>
      </c>
      <c r="Z290" s="1699">
        <f t="shared" si="700"/>
        <v>1</v>
      </c>
      <c r="AA290" s="1049"/>
      <c r="AB290" s="1050"/>
      <c r="AC290" s="1048"/>
      <c r="AD290" s="1699" t="str">
        <f t="shared" si="701"/>
        <v>-</v>
      </c>
      <c r="AE290" s="1049"/>
      <c r="AF290" s="1050"/>
      <c r="AG290" s="1048"/>
      <c r="AH290" s="1699" t="str">
        <f t="shared" si="702"/>
        <v>-</v>
      </c>
      <c r="AI290" s="1280">
        <f t="shared" si="703"/>
        <v>254</v>
      </c>
      <c r="AJ290" s="1281">
        <f t="shared" si="703"/>
        <v>0</v>
      </c>
      <c r="AK290" s="1281">
        <f t="shared" si="703"/>
        <v>0</v>
      </c>
      <c r="AL290" s="1668" t="str">
        <f t="shared" si="704"/>
        <v>-</v>
      </c>
      <c r="AM290" s="1049">
        <v>254</v>
      </c>
      <c r="AN290" s="1050">
        <v>0</v>
      </c>
      <c r="AO290" s="1048"/>
      <c r="AP290" s="1699" t="str">
        <f t="shared" si="705"/>
        <v>-</v>
      </c>
      <c r="AQ290" s="1049"/>
      <c r="AR290" s="1050"/>
      <c r="AS290" s="1048"/>
      <c r="AT290" s="1699" t="str">
        <f t="shared" si="706"/>
        <v>-</v>
      </c>
      <c r="AU290" s="1049"/>
      <c r="AV290" s="1050"/>
      <c r="AW290" s="1048"/>
      <c r="AX290" s="1699" t="str">
        <f t="shared" si="707"/>
        <v>-</v>
      </c>
      <c r="AY290" s="442"/>
    </row>
    <row r="291" spans="1:54" s="449" customFormat="1">
      <c r="A291" s="483">
        <f t="shared" si="708"/>
        <v>107</v>
      </c>
      <c r="B291" s="1781">
        <v>25</v>
      </c>
      <c r="C291" s="1059" t="s">
        <v>1104</v>
      </c>
      <c r="D291" s="860" t="s">
        <v>1105</v>
      </c>
      <c r="E291" s="1060" t="s">
        <v>1276</v>
      </c>
      <c r="F291" s="1073" t="s">
        <v>1107</v>
      </c>
      <c r="G291" s="1280">
        <f t="shared" si="694"/>
        <v>26526</v>
      </c>
      <c r="H291" s="1281">
        <f t="shared" si="694"/>
        <v>17538</v>
      </c>
      <c r="I291" s="1281">
        <f t="shared" si="694"/>
        <v>15469</v>
      </c>
      <c r="J291" s="1668">
        <f t="shared" si="695"/>
        <v>0.88202759721747059</v>
      </c>
      <c r="K291" s="1280">
        <f t="shared" si="696"/>
        <v>17856</v>
      </c>
      <c r="L291" s="1281">
        <f t="shared" si="696"/>
        <v>17538</v>
      </c>
      <c r="M291" s="1281">
        <f t="shared" si="696"/>
        <v>15469</v>
      </c>
      <c r="N291" s="1668">
        <f t="shared" si="697"/>
        <v>0.88202759721747059</v>
      </c>
      <c r="O291" s="1047">
        <v>10404</v>
      </c>
      <c r="P291" s="1048">
        <f>11568+355</f>
        <v>11923</v>
      </c>
      <c r="Q291" s="1048">
        <v>11568</v>
      </c>
      <c r="R291" s="1699">
        <f t="shared" si="698"/>
        <v>0.97022561435880228</v>
      </c>
      <c r="S291" s="1049">
        <v>2059</v>
      </c>
      <c r="T291" s="1050">
        <f>2121+122</f>
        <v>2243</v>
      </c>
      <c r="U291" s="1050">
        <v>2121</v>
      </c>
      <c r="V291" s="1699">
        <f t="shared" si="699"/>
        <v>0.94560855996433346</v>
      </c>
      <c r="W291" s="1049">
        <v>5393</v>
      </c>
      <c r="X291" s="1050">
        <f>1780+1592</f>
        <v>3372</v>
      </c>
      <c r="Y291" s="1050">
        <v>1780</v>
      </c>
      <c r="Z291" s="1699">
        <f t="shared" si="700"/>
        <v>0.52787663107947802</v>
      </c>
      <c r="AA291" s="1049"/>
      <c r="AB291" s="1050"/>
      <c r="AC291" s="1048"/>
      <c r="AD291" s="1699" t="str">
        <f t="shared" si="701"/>
        <v>-</v>
      </c>
      <c r="AE291" s="1049"/>
      <c r="AF291" s="1050"/>
      <c r="AG291" s="1048"/>
      <c r="AH291" s="1699" t="str">
        <f t="shared" si="702"/>
        <v>-</v>
      </c>
      <c r="AI291" s="1280">
        <f t="shared" si="703"/>
        <v>8670</v>
      </c>
      <c r="AJ291" s="1281">
        <f t="shared" si="703"/>
        <v>0</v>
      </c>
      <c r="AK291" s="1281">
        <f t="shared" si="703"/>
        <v>0</v>
      </c>
      <c r="AL291" s="1668" t="str">
        <f t="shared" si="704"/>
        <v>-</v>
      </c>
      <c r="AM291" s="1049">
        <v>8670</v>
      </c>
      <c r="AN291" s="1050">
        <v>0</v>
      </c>
      <c r="AO291" s="1048"/>
      <c r="AP291" s="1699" t="str">
        <f t="shared" si="705"/>
        <v>-</v>
      </c>
      <c r="AQ291" s="1049"/>
      <c r="AR291" s="1050"/>
      <c r="AS291" s="1048"/>
      <c r="AT291" s="1699" t="str">
        <f t="shared" si="706"/>
        <v>-</v>
      </c>
      <c r="AU291" s="1049"/>
      <c r="AV291" s="1050"/>
      <c r="AW291" s="1048"/>
      <c r="AX291" s="1699" t="str">
        <f t="shared" si="707"/>
        <v>-</v>
      </c>
      <c r="AY291" s="442"/>
      <c r="AZ291" s="259"/>
      <c r="BA291" s="259"/>
      <c r="BB291" s="259"/>
    </row>
    <row r="292" spans="1:54" s="449" customFormat="1" ht="12.75" thickBot="1">
      <c r="A292" s="483">
        <f t="shared" si="708"/>
        <v>108</v>
      </c>
      <c r="B292" s="1781">
        <v>25</v>
      </c>
      <c r="C292" s="1059" t="s">
        <v>1011</v>
      </c>
      <c r="D292" s="860" t="s">
        <v>1012</v>
      </c>
      <c r="E292" s="1060" t="s">
        <v>1257</v>
      </c>
      <c r="F292" s="1073" t="s">
        <v>1100</v>
      </c>
      <c r="G292" s="1280">
        <f t="shared" si="694"/>
        <v>0</v>
      </c>
      <c r="H292" s="1281">
        <f t="shared" si="694"/>
        <v>654</v>
      </c>
      <c r="I292" s="1281">
        <f t="shared" si="694"/>
        <v>654</v>
      </c>
      <c r="J292" s="1668">
        <f t="shared" si="695"/>
        <v>1</v>
      </c>
      <c r="K292" s="1280">
        <f t="shared" si="696"/>
        <v>0</v>
      </c>
      <c r="L292" s="1281">
        <f t="shared" si="696"/>
        <v>654</v>
      </c>
      <c r="M292" s="1281">
        <f t="shared" si="696"/>
        <v>654</v>
      </c>
      <c r="N292" s="1668">
        <f t="shared" si="697"/>
        <v>1</v>
      </c>
      <c r="O292" s="1047"/>
      <c r="P292" s="1048"/>
      <c r="Q292" s="1048"/>
      <c r="R292" s="1699" t="str">
        <f t="shared" si="698"/>
        <v>-</v>
      </c>
      <c r="S292" s="1049"/>
      <c r="T292" s="1050"/>
      <c r="U292" s="1048"/>
      <c r="V292" s="1699" t="str">
        <f t="shared" si="699"/>
        <v>-</v>
      </c>
      <c r="W292" s="1049"/>
      <c r="X292" s="1050"/>
      <c r="Y292" s="1048"/>
      <c r="Z292" s="1699" t="str">
        <f t="shared" si="700"/>
        <v>-</v>
      </c>
      <c r="AA292" s="1049"/>
      <c r="AB292" s="1050"/>
      <c r="AC292" s="1048"/>
      <c r="AD292" s="1699" t="str">
        <f t="shared" si="701"/>
        <v>-</v>
      </c>
      <c r="AE292" s="1049"/>
      <c r="AF292" s="1050">
        <f>0+654</f>
        <v>654</v>
      </c>
      <c r="AG292" s="1048">
        <v>654</v>
      </c>
      <c r="AH292" s="1699">
        <f t="shared" si="702"/>
        <v>1</v>
      </c>
      <c r="AI292" s="1280">
        <f t="shared" si="703"/>
        <v>0</v>
      </c>
      <c r="AJ292" s="1281">
        <f t="shared" si="703"/>
        <v>0</v>
      </c>
      <c r="AK292" s="1281">
        <f t="shared" si="703"/>
        <v>0</v>
      </c>
      <c r="AL292" s="1668" t="str">
        <f t="shared" si="704"/>
        <v>-</v>
      </c>
      <c r="AM292" s="1049"/>
      <c r="AN292" s="1050"/>
      <c r="AO292" s="1048"/>
      <c r="AP292" s="1699" t="str">
        <f t="shared" si="705"/>
        <v>-</v>
      </c>
      <c r="AQ292" s="1049"/>
      <c r="AR292" s="1050"/>
      <c r="AS292" s="1048"/>
      <c r="AT292" s="1699" t="str">
        <f t="shared" si="706"/>
        <v>-</v>
      </c>
      <c r="AU292" s="1049"/>
      <c r="AV292" s="1050"/>
      <c r="AW292" s="1048"/>
      <c r="AX292" s="1699" t="str">
        <f t="shared" si="707"/>
        <v>-</v>
      </c>
      <c r="AY292" s="442"/>
      <c r="AZ292" s="259"/>
      <c r="BA292" s="259"/>
      <c r="BB292" s="259"/>
    </row>
    <row r="293" spans="1:54" s="440" customFormat="1" ht="12.75" customHeight="1" thickBot="1">
      <c r="A293" s="479" t="s">
        <v>757</v>
      </c>
      <c r="B293" s="1771"/>
      <c r="C293" s="1906" t="s">
        <v>421</v>
      </c>
      <c r="D293" s="1907"/>
      <c r="E293" s="1907"/>
      <c r="F293" s="1908"/>
      <c r="G293" s="469">
        <f>SUM(G288:G292)</f>
        <v>54272</v>
      </c>
      <c r="H293" s="470">
        <f>SUM(H288:H292)</f>
        <v>41628</v>
      </c>
      <c r="I293" s="470">
        <f>SUM(I288:I292)</f>
        <v>39559</v>
      </c>
      <c r="J293" s="1635">
        <f t="shared" si="695"/>
        <v>0.95029787642932639</v>
      </c>
      <c r="K293" s="469">
        <f t="shared" ref="K293" si="709">SUM(K288:K292)</f>
        <v>43221</v>
      </c>
      <c r="L293" s="470">
        <f t="shared" ref="L293:M293" si="710">SUM(L288:L292)</f>
        <v>41628</v>
      </c>
      <c r="M293" s="470">
        <f t="shared" si="710"/>
        <v>39559</v>
      </c>
      <c r="N293" s="1635">
        <f t="shared" si="697"/>
        <v>0.95029787642932639</v>
      </c>
      <c r="O293" s="451">
        <f t="shared" ref="O293:AU293" si="711">SUM(O288:O292)</f>
        <v>24615</v>
      </c>
      <c r="P293" s="321">
        <f t="shared" ref="P293" si="712">SUM(P288:P292)</f>
        <v>25602</v>
      </c>
      <c r="Q293" s="321">
        <f t="shared" ref="Q293" si="713">SUM(Q288:Q292)</f>
        <v>25247</v>
      </c>
      <c r="R293" s="1638">
        <f t="shared" si="698"/>
        <v>0.98613389578939148</v>
      </c>
      <c r="S293" s="451">
        <f t="shared" si="711"/>
        <v>4809</v>
      </c>
      <c r="T293" s="321">
        <f t="shared" ref="T293:U293" si="714">SUM(T288:T292)</f>
        <v>4809</v>
      </c>
      <c r="U293" s="321">
        <f t="shared" si="714"/>
        <v>4687</v>
      </c>
      <c r="V293" s="1638">
        <f t="shared" si="699"/>
        <v>0.97463090039509248</v>
      </c>
      <c r="W293" s="451">
        <f t="shared" si="711"/>
        <v>13797</v>
      </c>
      <c r="X293" s="321">
        <f t="shared" ref="X293:Y293" si="715">SUM(X288:X292)</f>
        <v>10563</v>
      </c>
      <c r="Y293" s="321">
        <f t="shared" si="715"/>
        <v>8971</v>
      </c>
      <c r="Z293" s="1638">
        <f t="shared" si="700"/>
        <v>0.8492852409353403</v>
      </c>
      <c r="AA293" s="451">
        <f t="shared" si="711"/>
        <v>0</v>
      </c>
      <c r="AB293" s="321">
        <f t="shared" ref="AB293:AC293" si="716">SUM(AB288:AB292)</f>
        <v>0</v>
      </c>
      <c r="AC293" s="321">
        <f t="shared" si="716"/>
        <v>0</v>
      </c>
      <c r="AD293" s="1638" t="str">
        <f t="shared" si="701"/>
        <v>-</v>
      </c>
      <c r="AE293" s="451">
        <f t="shared" si="711"/>
        <v>0</v>
      </c>
      <c r="AF293" s="321">
        <f t="shared" ref="AF293:AG293" si="717">SUM(AF288:AF292)</f>
        <v>654</v>
      </c>
      <c r="AG293" s="321">
        <f t="shared" si="717"/>
        <v>654</v>
      </c>
      <c r="AH293" s="1638">
        <f t="shared" si="702"/>
        <v>1</v>
      </c>
      <c r="AI293" s="469">
        <f t="shared" si="711"/>
        <v>11051</v>
      </c>
      <c r="AJ293" s="470">
        <f t="shared" ref="AJ293:AK293" si="718">SUM(AJ288:AJ292)</f>
        <v>0</v>
      </c>
      <c r="AK293" s="470">
        <f t="shared" si="718"/>
        <v>0</v>
      </c>
      <c r="AL293" s="1635" t="str">
        <f t="shared" si="704"/>
        <v>-</v>
      </c>
      <c r="AM293" s="451">
        <f t="shared" si="711"/>
        <v>11051</v>
      </c>
      <c r="AN293" s="321">
        <f t="shared" ref="AN293:AO293" si="719">SUM(AN288:AN292)</f>
        <v>0</v>
      </c>
      <c r="AO293" s="321">
        <f t="shared" si="719"/>
        <v>0</v>
      </c>
      <c r="AP293" s="1638" t="str">
        <f t="shared" si="705"/>
        <v>-</v>
      </c>
      <c r="AQ293" s="451">
        <f t="shared" si="711"/>
        <v>0</v>
      </c>
      <c r="AR293" s="321">
        <f t="shared" ref="AR293:AS293" si="720">SUM(AR288:AR292)</f>
        <v>0</v>
      </c>
      <c r="AS293" s="321">
        <f t="shared" si="720"/>
        <v>0</v>
      </c>
      <c r="AT293" s="1638" t="str">
        <f t="shared" si="706"/>
        <v>-</v>
      </c>
      <c r="AU293" s="451">
        <f t="shared" si="711"/>
        <v>0</v>
      </c>
      <c r="AV293" s="321">
        <f t="shared" ref="AV293:AW293" si="721">SUM(AV288:AV292)</f>
        <v>0</v>
      </c>
      <c r="AW293" s="321">
        <f t="shared" si="721"/>
        <v>0</v>
      </c>
      <c r="AX293" s="1638" t="str">
        <f t="shared" si="707"/>
        <v>-</v>
      </c>
      <c r="AY293" s="443"/>
      <c r="AZ293" s="259"/>
      <c r="BA293" s="259"/>
      <c r="BB293" s="259"/>
    </row>
    <row r="294" spans="1:54" ht="12.75" customHeight="1" thickBot="1">
      <c r="A294" s="485">
        <f>A292+1</f>
        <v>109</v>
      </c>
      <c r="B294" s="1785">
        <v>27</v>
      </c>
      <c r="C294" s="834" t="s">
        <v>19</v>
      </c>
      <c r="D294" s="476" t="s">
        <v>19</v>
      </c>
      <c r="E294" s="829" t="s">
        <v>19</v>
      </c>
      <c r="F294" s="1075" t="s">
        <v>19</v>
      </c>
      <c r="G294" s="1286">
        <f>+K294+AI294</f>
        <v>0</v>
      </c>
      <c r="H294" s="1287">
        <f>+L294+AJ294</f>
        <v>0</v>
      </c>
      <c r="I294" s="1287">
        <f>+M294+AK294</f>
        <v>0</v>
      </c>
      <c r="J294" s="1695" t="str">
        <f t="shared" si="695"/>
        <v>-</v>
      </c>
      <c r="K294" s="1286">
        <f>+O294+S294+W294+AA294+AE294</f>
        <v>0</v>
      </c>
      <c r="L294" s="1287">
        <f>+P294+T294+X294+AB294+AF294</f>
        <v>0</v>
      </c>
      <c r="M294" s="1287">
        <f>+Q294+U294+Y294+AC294+AG294</f>
        <v>0</v>
      </c>
      <c r="N294" s="1695" t="str">
        <f t="shared" si="697"/>
        <v>-</v>
      </c>
      <c r="O294" s="448"/>
      <c r="P294" s="447"/>
      <c r="Q294" s="447"/>
      <c r="R294" s="1702" t="str">
        <f t="shared" si="698"/>
        <v>-</v>
      </c>
      <c r="S294" s="448"/>
      <c r="T294" s="447"/>
      <c r="U294" s="447"/>
      <c r="V294" s="1702" t="str">
        <f t="shared" si="699"/>
        <v>-</v>
      </c>
      <c r="W294" s="448"/>
      <c r="X294" s="447"/>
      <c r="Y294" s="447"/>
      <c r="Z294" s="1702" t="str">
        <f t="shared" si="700"/>
        <v>-</v>
      </c>
      <c r="AA294" s="448"/>
      <c r="AB294" s="447"/>
      <c r="AC294" s="447"/>
      <c r="AD294" s="1702" t="str">
        <f t="shared" si="701"/>
        <v>-</v>
      </c>
      <c r="AE294" s="448"/>
      <c r="AF294" s="447"/>
      <c r="AG294" s="447"/>
      <c r="AH294" s="1702" t="str">
        <f t="shared" si="702"/>
        <v>-</v>
      </c>
      <c r="AI294" s="1286">
        <f>+AM294+AQ294+AU294</f>
        <v>0</v>
      </c>
      <c r="AJ294" s="1287">
        <f>+AN294+AR294+AV294</f>
        <v>0</v>
      </c>
      <c r="AK294" s="1287">
        <f>+AO294+AS294+AW294</f>
        <v>0</v>
      </c>
      <c r="AL294" s="1695" t="str">
        <f t="shared" si="704"/>
        <v>-</v>
      </c>
      <c r="AM294" s="448"/>
      <c r="AN294" s="447"/>
      <c r="AO294" s="447"/>
      <c r="AP294" s="1702" t="str">
        <f t="shared" si="705"/>
        <v>-</v>
      </c>
      <c r="AQ294" s="448"/>
      <c r="AR294" s="447"/>
      <c r="AS294" s="447"/>
      <c r="AT294" s="1702" t="str">
        <f t="shared" si="706"/>
        <v>-</v>
      </c>
      <c r="AU294" s="448"/>
      <c r="AV294" s="447"/>
      <c r="AW294" s="447"/>
      <c r="AX294" s="1702" t="str">
        <f t="shared" si="707"/>
        <v>-</v>
      </c>
      <c r="AY294" s="442"/>
      <c r="AZ294" s="449"/>
      <c r="BA294" s="449"/>
      <c r="BB294" s="449"/>
    </row>
    <row r="295" spans="1:54" s="440" customFormat="1" ht="12.75" customHeight="1" thickBot="1">
      <c r="A295" s="479" t="s">
        <v>642</v>
      </c>
      <c r="B295" s="1771"/>
      <c r="C295" s="1906" t="s">
        <v>759</v>
      </c>
      <c r="D295" s="1907"/>
      <c r="E295" s="1907"/>
      <c r="F295" s="1908"/>
      <c r="G295" s="469">
        <f>SUM(G294)</f>
        <v>0</v>
      </c>
      <c r="H295" s="470">
        <f>SUM(H294)</f>
        <v>0</v>
      </c>
      <c r="I295" s="470">
        <f>SUM(I294)</f>
        <v>0</v>
      </c>
      <c r="J295" s="1635" t="str">
        <f t="shared" si="695"/>
        <v>-</v>
      </c>
      <c r="K295" s="469">
        <f t="shared" ref="K295" si="722">SUM(K294)</f>
        <v>0</v>
      </c>
      <c r="L295" s="470">
        <f t="shared" ref="L295:M295" si="723">SUM(L294)</f>
        <v>0</v>
      </c>
      <c r="M295" s="470">
        <f t="shared" si="723"/>
        <v>0</v>
      </c>
      <c r="N295" s="1635" t="str">
        <f t="shared" si="697"/>
        <v>-</v>
      </c>
      <c r="O295" s="451">
        <f t="shared" ref="O295:AU297" si="724">SUM(O294)</f>
        <v>0</v>
      </c>
      <c r="P295" s="321">
        <f t="shared" ref="P295:Q295" si="725">SUM(P294)</f>
        <v>0</v>
      </c>
      <c r="Q295" s="321">
        <f t="shared" si="725"/>
        <v>0</v>
      </c>
      <c r="R295" s="1638" t="str">
        <f t="shared" si="698"/>
        <v>-</v>
      </c>
      <c r="S295" s="451">
        <f t="shared" si="724"/>
        <v>0</v>
      </c>
      <c r="T295" s="321">
        <f t="shared" ref="T295:U295" si="726">SUM(T294)</f>
        <v>0</v>
      </c>
      <c r="U295" s="321">
        <f t="shared" si="726"/>
        <v>0</v>
      </c>
      <c r="V295" s="1638" t="str">
        <f t="shared" si="699"/>
        <v>-</v>
      </c>
      <c r="W295" s="451">
        <f t="shared" si="724"/>
        <v>0</v>
      </c>
      <c r="X295" s="321">
        <f t="shared" ref="X295:Y295" si="727">SUM(X294)</f>
        <v>0</v>
      </c>
      <c r="Y295" s="321">
        <f t="shared" si="727"/>
        <v>0</v>
      </c>
      <c r="Z295" s="1638" t="str">
        <f t="shared" si="700"/>
        <v>-</v>
      </c>
      <c r="AA295" s="451">
        <f t="shared" si="724"/>
        <v>0</v>
      </c>
      <c r="AB295" s="321">
        <f t="shared" ref="AB295:AC295" si="728">SUM(AB294)</f>
        <v>0</v>
      </c>
      <c r="AC295" s="321">
        <f t="shared" si="728"/>
        <v>0</v>
      </c>
      <c r="AD295" s="1638" t="str">
        <f t="shared" si="701"/>
        <v>-</v>
      </c>
      <c r="AE295" s="451">
        <f t="shared" si="724"/>
        <v>0</v>
      </c>
      <c r="AF295" s="321">
        <f t="shared" ref="AF295:AG295" si="729">SUM(AF294)</f>
        <v>0</v>
      </c>
      <c r="AG295" s="321">
        <f t="shared" si="729"/>
        <v>0</v>
      </c>
      <c r="AH295" s="1638" t="str">
        <f t="shared" si="702"/>
        <v>-</v>
      </c>
      <c r="AI295" s="469">
        <f t="shared" si="724"/>
        <v>0</v>
      </c>
      <c r="AJ295" s="470">
        <f t="shared" ref="AJ295:AK295" si="730">SUM(AJ294)</f>
        <v>0</v>
      </c>
      <c r="AK295" s="470">
        <f t="shared" si="730"/>
        <v>0</v>
      </c>
      <c r="AL295" s="1635" t="str">
        <f t="shared" si="704"/>
        <v>-</v>
      </c>
      <c r="AM295" s="451">
        <f t="shared" si="724"/>
        <v>0</v>
      </c>
      <c r="AN295" s="321">
        <f t="shared" ref="AN295:AO295" si="731">SUM(AN294)</f>
        <v>0</v>
      </c>
      <c r="AO295" s="321">
        <f t="shared" si="731"/>
        <v>0</v>
      </c>
      <c r="AP295" s="1638" t="str">
        <f t="shared" si="705"/>
        <v>-</v>
      </c>
      <c r="AQ295" s="451">
        <f t="shared" si="724"/>
        <v>0</v>
      </c>
      <c r="AR295" s="321">
        <f t="shared" ref="AR295:AS295" si="732">SUM(AR294)</f>
        <v>0</v>
      </c>
      <c r="AS295" s="321">
        <f t="shared" si="732"/>
        <v>0</v>
      </c>
      <c r="AT295" s="1638" t="str">
        <f t="shared" si="706"/>
        <v>-</v>
      </c>
      <c r="AU295" s="451">
        <f t="shared" si="724"/>
        <v>0</v>
      </c>
      <c r="AV295" s="321">
        <f t="shared" ref="AV295:AW295" si="733">SUM(AV294)</f>
        <v>0</v>
      </c>
      <c r="AW295" s="321">
        <f t="shared" si="733"/>
        <v>0</v>
      </c>
      <c r="AX295" s="1638" t="str">
        <f t="shared" si="707"/>
        <v>-</v>
      </c>
      <c r="AY295" s="443"/>
    </row>
    <row r="296" spans="1:54" ht="12.75" customHeight="1" thickBot="1">
      <c r="A296" s="485">
        <f>+A294+1</f>
        <v>110</v>
      </c>
      <c r="B296" s="1785">
        <v>28</v>
      </c>
      <c r="C296" s="834" t="s">
        <v>19</v>
      </c>
      <c r="D296" s="476" t="s">
        <v>19</v>
      </c>
      <c r="E296" s="829" t="s">
        <v>19</v>
      </c>
      <c r="F296" s="1075" t="s">
        <v>19</v>
      </c>
      <c r="G296" s="1286">
        <f>+K296+AI296</f>
        <v>0</v>
      </c>
      <c r="H296" s="1287">
        <f>+L296+AJ296</f>
        <v>0</v>
      </c>
      <c r="I296" s="1287">
        <f>+M296+AK296</f>
        <v>0</v>
      </c>
      <c r="J296" s="1695" t="str">
        <f t="shared" si="695"/>
        <v>-</v>
      </c>
      <c r="K296" s="1286">
        <f>+O296+S296+W296+AA296+AE296</f>
        <v>0</v>
      </c>
      <c r="L296" s="1287">
        <f>+P296+T296+X296+AB296+AF296</f>
        <v>0</v>
      </c>
      <c r="M296" s="1287">
        <f>+Q296+U296+Y296+AC296+AG296</f>
        <v>0</v>
      </c>
      <c r="N296" s="1695" t="str">
        <f t="shared" si="697"/>
        <v>-</v>
      </c>
      <c r="O296" s="448"/>
      <c r="P296" s="447"/>
      <c r="Q296" s="447"/>
      <c r="R296" s="1702" t="str">
        <f t="shared" si="698"/>
        <v>-</v>
      </c>
      <c r="S296" s="448"/>
      <c r="T296" s="447"/>
      <c r="U296" s="447"/>
      <c r="V296" s="1702" t="str">
        <f t="shared" si="699"/>
        <v>-</v>
      </c>
      <c r="W296" s="448"/>
      <c r="X296" s="447"/>
      <c r="Y296" s="447"/>
      <c r="Z296" s="1702" t="str">
        <f t="shared" si="700"/>
        <v>-</v>
      </c>
      <c r="AA296" s="448"/>
      <c r="AB296" s="447"/>
      <c r="AC296" s="447"/>
      <c r="AD296" s="1702" t="str">
        <f t="shared" si="701"/>
        <v>-</v>
      </c>
      <c r="AE296" s="448"/>
      <c r="AF296" s="447"/>
      <c r="AG296" s="447"/>
      <c r="AH296" s="1702" t="str">
        <f t="shared" si="702"/>
        <v>-</v>
      </c>
      <c r="AI296" s="1286">
        <f>+AM296+AQ296+AU296</f>
        <v>0</v>
      </c>
      <c r="AJ296" s="1287">
        <f>+AN296+AR296+AV296</f>
        <v>0</v>
      </c>
      <c r="AK296" s="1287">
        <f>+AO296+AS296+AW296</f>
        <v>0</v>
      </c>
      <c r="AL296" s="1695" t="str">
        <f t="shared" si="704"/>
        <v>-</v>
      </c>
      <c r="AM296" s="448"/>
      <c r="AN296" s="447"/>
      <c r="AO296" s="447"/>
      <c r="AP296" s="1702" t="str">
        <f t="shared" si="705"/>
        <v>-</v>
      </c>
      <c r="AQ296" s="448"/>
      <c r="AR296" s="447"/>
      <c r="AS296" s="447"/>
      <c r="AT296" s="1702" t="str">
        <f t="shared" si="706"/>
        <v>-</v>
      </c>
      <c r="AU296" s="448"/>
      <c r="AV296" s="447"/>
      <c r="AW296" s="447"/>
      <c r="AX296" s="1702" t="str">
        <f t="shared" si="707"/>
        <v>-</v>
      </c>
      <c r="AY296" s="442"/>
      <c r="AZ296" s="449"/>
      <c r="BA296" s="449"/>
      <c r="BB296" s="449"/>
    </row>
    <row r="297" spans="1:54" s="440" customFormat="1" ht="12.75" customHeight="1" thickBot="1">
      <c r="A297" s="479" t="s">
        <v>758</v>
      </c>
      <c r="B297" s="1771"/>
      <c r="C297" s="1906" t="s">
        <v>774</v>
      </c>
      <c r="D297" s="1907"/>
      <c r="E297" s="1907"/>
      <c r="F297" s="1908"/>
      <c r="G297" s="469">
        <f>SUM(G296)</f>
        <v>0</v>
      </c>
      <c r="H297" s="470">
        <f>SUM(H296)</f>
        <v>0</v>
      </c>
      <c r="I297" s="470">
        <f>SUM(I296)</f>
        <v>0</v>
      </c>
      <c r="J297" s="1635" t="str">
        <f t="shared" si="695"/>
        <v>-</v>
      </c>
      <c r="K297" s="469">
        <f t="shared" ref="K297" si="734">SUM(K296)</f>
        <v>0</v>
      </c>
      <c r="L297" s="470">
        <f t="shared" ref="L297:M297" si="735">SUM(L296)</f>
        <v>0</v>
      </c>
      <c r="M297" s="470">
        <f t="shared" si="735"/>
        <v>0</v>
      </c>
      <c r="N297" s="1635" t="str">
        <f t="shared" si="697"/>
        <v>-</v>
      </c>
      <c r="O297" s="451">
        <f t="shared" si="724"/>
        <v>0</v>
      </c>
      <c r="P297" s="321">
        <f t="shared" ref="P297:Q297" si="736">SUM(P296)</f>
        <v>0</v>
      </c>
      <c r="Q297" s="321">
        <f t="shared" si="736"/>
        <v>0</v>
      </c>
      <c r="R297" s="1638" t="str">
        <f t="shared" si="698"/>
        <v>-</v>
      </c>
      <c r="S297" s="451">
        <f t="shared" si="724"/>
        <v>0</v>
      </c>
      <c r="T297" s="321">
        <f t="shared" ref="T297:U297" si="737">SUM(T296)</f>
        <v>0</v>
      </c>
      <c r="U297" s="321">
        <f t="shared" si="737"/>
        <v>0</v>
      </c>
      <c r="V297" s="1638" t="str">
        <f t="shared" si="699"/>
        <v>-</v>
      </c>
      <c r="W297" s="451">
        <f t="shared" si="724"/>
        <v>0</v>
      </c>
      <c r="X297" s="321">
        <f t="shared" ref="X297:Y297" si="738">SUM(X296)</f>
        <v>0</v>
      </c>
      <c r="Y297" s="321">
        <f t="shared" si="738"/>
        <v>0</v>
      </c>
      <c r="Z297" s="1638" t="str">
        <f t="shared" si="700"/>
        <v>-</v>
      </c>
      <c r="AA297" s="451">
        <f t="shared" si="724"/>
        <v>0</v>
      </c>
      <c r="AB297" s="321">
        <f t="shared" ref="AB297:AC297" si="739">SUM(AB296)</f>
        <v>0</v>
      </c>
      <c r="AC297" s="321">
        <f t="shared" si="739"/>
        <v>0</v>
      </c>
      <c r="AD297" s="1638" t="str">
        <f t="shared" si="701"/>
        <v>-</v>
      </c>
      <c r="AE297" s="451">
        <f t="shared" si="724"/>
        <v>0</v>
      </c>
      <c r="AF297" s="321">
        <f t="shared" ref="AF297:AG297" si="740">SUM(AF296)</f>
        <v>0</v>
      </c>
      <c r="AG297" s="321">
        <f t="shared" si="740"/>
        <v>0</v>
      </c>
      <c r="AH297" s="1638" t="str">
        <f t="shared" si="702"/>
        <v>-</v>
      </c>
      <c r="AI297" s="469">
        <f t="shared" si="724"/>
        <v>0</v>
      </c>
      <c r="AJ297" s="470">
        <f t="shared" ref="AJ297:AK297" si="741">SUM(AJ296)</f>
        <v>0</v>
      </c>
      <c r="AK297" s="470">
        <f t="shared" si="741"/>
        <v>0</v>
      </c>
      <c r="AL297" s="1635" t="str">
        <f t="shared" si="704"/>
        <v>-</v>
      </c>
      <c r="AM297" s="451">
        <f t="shared" si="724"/>
        <v>0</v>
      </c>
      <c r="AN297" s="321">
        <f t="shared" ref="AN297:AO297" si="742">SUM(AN296)</f>
        <v>0</v>
      </c>
      <c r="AO297" s="321">
        <f t="shared" si="742"/>
        <v>0</v>
      </c>
      <c r="AP297" s="1638" t="str">
        <f t="shared" si="705"/>
        <v>-</v>
      </c>
      <c r="AQ297" s="451">
        <f t="shared" si="724"/>
        <v>0</v>
      </c>
      <c r="AR297" s="321">
        <f t="shared" ref="AR297:AS297" si="743">SUM(AR296)</f>
        <v>0</v>
      </c>
      <c r="AS297" s="321">
        <f t="shared" si="743"/>
        <v>0</v>
      </c>
      <c r="AT297" s="1638" t="str">
        <f t="shared" si="706"/>
        <v>-</v>
      </c>
      <c r="AU297" s="451">
        <f t="shared" si="724"/>
        <v>0</v>
      </c>
      <c r="AV297" s="321">
        <f t="shared" ref="AV297:AW297" si="744">SUM(AV296)</f>
        <v>0</v>
      </c>
      <c r="AW297" s="321">
        <f t="shared" si="744"/>
        <v>0</v>
      </c>
      <c r="AX297" s="1638" t="str">
        <f t="shared" si="707"/>
        <v>-</v>
      </c>
      <c r="AY297" s="443"/>
    </row>
    <row r="298" spans="1:54" s="449" customFormat="1" ht="12.75" customHeight="1" thickBot="1">
      <c r="A298" s="480" t="s">
        <v>20</v>
      </c>
      <c r="B298" s="1782"/>
      <c r="C298" s="1900" t="s">
        <v>423</v>
      </c>
      <c r="D298" s="1901"/>
      <c r="E298" s="1901"/>
      <c r="F298" s="1902"/>
      <c r="G298" s="453">
        <f>+G293+G295+G297</f>
        <v>54272</v>
      </c>
      <c r="H298" s="454">
        <f>+H293+H295+H297</f>
        <v>41628</v>
      </c>
      <c r="I298" s="454">
        <f>+I293+I295+I297</f>
        <v>39559</v>
      </c>
      <c r="J298" s="1692">
        <f t="shared" si="695"/>
        <v>0.95029787642932639</v>
      </c>
      <c r="K298" s="453">
        <f t="shared" ref="K298" si="745">+K293+K295+K297</f>
        <v>43221</v>
      </c>
      <c r="L298" s="454">
        <f t="shared" ref="L298:M298" si="746">+L293+L295+L297</f>
        <v>41628</v>
      </c>
      <c r="M298" s="454">
        <f t="shared" si="746"/>
        <v>39559</v>
      </c>
      <c r="N298" s="1692">
        <f t="shared" si="697"/>
        <v>0.95029787642932639</v>
      </c>
      <c r="O298" s="453">
        <f t="shared" ref="O298:AU298" si="747">+O293+O295+O297</f>
        <v>24615</v>
      </c>
      <c r="P298" s="454">
        <f t="shared" ref="P298:Q298" si="748">+P293+P295+P297</f>
        <v>25602</v>
      </c>
      <c r="Q298" s="464">
        <f t="shared" si="748"/>
        <v>25247</v>
      </c>
      <c r="R298" s="1696">
        <f t="shared" si="698"/>
        <v>0.98613389578939148</v>
      </c>
      <c r="S298" s="453">
        <f t="shared" si="747"/>
        <v>4809</v>
      </c>
      <c r="T298" s="454">
        <f t="shared" ref="T298:U298" si="749">+T293+T295+T297</f>
        <v>4809</v>
      </c>
      <c r="U298" s="464">
        <f t="shared" si="749"/>
        <v>4687</v>
      </c>
      <c r="V298" s="1696">
        <f t="shared" si="699"/>
        <v>0.97463090039509248</v>
      </c>
      <c r="W298" s="453">
        <f t="shared" si="747"/>
        <v>13797</v>
      </c>
      <c r="X298" s="454">
        <f t="shared" ref="X298:Y298" si="750">+X293+X295+X297</f>
        <v>10563</v>
      </c>
      <c r="Y298" s="464">
        <f t="shared" si="750"/>
        <v>8971</v>
      </c>
      <c r="Z298" s="1696">
        <f t="shared" si="700"/>
        <v>0.8492852409353403</v>
      </c>
      <c r="AA298" s="453">
        <f t="shared" si="747"/>
        <v>0</v>
      </c>
      <c r="AB298" s="454">
        <f t="shared" ref="AB298:AC298" si="751">+AB293+AB295+AB297</f>
        <v>0</v>
      </c>
      <c r="AC298" s="464">
        <f t="shared" si="751"/>
        <v>0</v>
      </c>
      <c r="AD298" s="1696" t="str">
        <f t="shared" si="701"/>
        <v>-</v>
      </c>
      <c r="AE298" s="453">
        <f t="shared" si="747"/>
        <v>0</v>
      </c>
      <c r="AF298" s="454">
        <f t="shared" ref="AF298:AG298" si="752">+AF293+AF295+AF297</f>
        <v>654</v>
      </c>
      <c r="AG298" s="464">
        <f t="shared" si="752"/>
        <v>654</v>
      </c>
      <c r="AH298" s="1696">
        <f t="shared" si="702"/>
        <v>1</v>
      </c>
      <c r="AI298" s="453">
        <f t="shared" si="747"/>
        <v>11051</v>
      </c>
      <c r="AJ298" s="454">
        <f t="shared" ref="AJ298:AK298" si="753">+AJ293+AJ295+AJ297</f>
        <v>0</v>
      </c>
      <c r="AK298" s="454">
        <f t="shared" si="753"/>
        <v>0</v>
      </c>
      <c r="AL298" s="1692" t="str">
        <f t="shared" si="704"/>
        <v>-</v>
      </c>
      <c r="AM298" s="453">
        <f t="shared" si="747"/>
        <v>11051</v>
      </c>
      <c r="AN298" s="454">
        <f t="shared" ref="AN298:AO298" si="754">+AN293+AN295+AN297</f>
        <v>0</v>
      </c>
      <c r="AO298" s="464">
        <f t="shared" si="754"/>
        <v>0</v>
      </c>
      <c r="AP298" s="1696" t="str">
        <f t="shared" si="705"/>
        <v>-</v>
      </c>
      <c r="AQ298" s="453">
        <f t="shared" si="747"/>
        <v>0</v>
      </c>
      <c r="AR298" s="454">
        <f t="shared" ref="AR298:AS298" si="755">+AR293+AR295+AR297</f>
        <v>0</v>
      </c>
      <c r="AS298" s="464">
        <f t="shared" si="755"/>
        <v>0</v>
      </c>
      <c r="AT298" s="1696" t="str">
        <f t="shared" si="706"/>
        <v>-</v>
      </c>
      <c r="AU298" s="453">
        <f t="shared" si="747"/>
        <v>0</v>
      </c>
      <c r="AV298" s="454">
        <f t="shared" ref="AV298:AW298" si="756">+AV293+AV295+AV297</f>
        <v>0</v>
      </c>
      <c r="AW298" s="464">
        <f t="shared" si="756"/>
        <v>0</v>
      </c>
      <c r="AX298" s="1696" t="str">
        <f t="shared" si="707"/>
        <v>-</v>
      </c>
      <c r="AY298" s="723"/>
      <c r="AZ298" s="440"/>
      <c r="BA298" s="440"/>
      <c r="BB298" s="440"/>
    </row>
    <row r="299" spans="1:54" ht="12.75" thickBot="1">
      <c r="A299" s="479"/>
      <c r="B299" s="1775"/>
      <c r="C299" s="833"/>
      <c r="D299" s="478"/>
      <c r="E299" s="828"/>
      <c r="F299" s="450"/>
      <c r="G299" s="469"/>
      <c r="H299" s="470"/>
      <c r="I299" s="470"/>
      <c r="J299" s="1635"/>
      <c r="K299" s="469"/>
      <c r="L299" s="470"/>
      <c r="M299" s="470"/>
      <c r="N299" s="1635"/>
      <c r="O299" s="767"/>
      <c r="P299" s="768"/>
      <c r="Q299" s="321"/>
      <c r="R299" s="1638"/>
      <c r="S299" s="767"/>
      <c r="T299" s="768"/>
      <c r="U299" s="321"/>
      <c r="V299" s="1638"/>
      <c r="W299" s="767"/>
      <c r="X299" s="768"/>
      <c r="Y299" s="321"/>
      <c r="Z299" s="1638"/>
      <c r="AA299" s="767"/>
      <c r="AB299" s="768"/>
      <c r="AC299" s="321"/>
      <c r="AD299" s="1638"/>
      <c r="AE299" s="767"/>
      <c r="AF299" s="768"/>
      <c r="AG299" s="321"/>
      <c r="AH299" s="1638"/>
      <c r="AI299" s="469"/>
      <c r="AJ299" s="470"/>
      <c r="AK299" s="470"/>
      <c r="AL299" s="1635"/>
      <c r="AM299" s="767"/>
      <c r="AN299" s="768"/>
      <c r="AO299" s="321"/>
      <c r="AP299" s="1638"/>
      <c r="AQ299" s="767"/>
      <c r="AR299" s="768"/>
      <c r="AS299" s="321"/>
      <c r="AT299" s="1638"/>
      <c r="AU299" s="767"/>
      <c r="AV299" s="768"/>
      <c r="AW299" s="321"/>
      <c r="AX299" s="1638"/>
      <c r="AY299" s="442"/>
      <c r="AZ299" s="440"/>
      <c r="BA299" s="440"/>
      <c r="BB299" s="440"/>
    </row>
    <row r="300" spans="1:54" ht="12.75" customHeight="1" thickBot="1">
      <c r="A300" s="483">
        <f>A296+1</f>
        <v>111</v>
      </c>
      <c r="B300" s="249">
        <v>29</v>
      </c>
      <c r="C300" s="1059" t="s">
        <v>19</v>
      </c>
      <c r="D300" s="860" t="s">
        <v>19</v>
      </c>
      <c r="E300" s="1060" t="s">
        <v>19</v>
      </c>
      <c r="F300" s="1073" t="s">
        <v>19</v>
      </c>
      <c r="G300" s="1276">
        <f>+K300+AI300</f>
        <v>0</v>
      </c>
      <c r="H300" s="1277">
        <f>+L300+AJ300</f>
        <v>0</v>
      </c>
      <c r="I300" s="1277">
        <f>+M300+AK300</f>
        <v>0</v>
      </c>
      <c r="J300" s="1689" t="str">
        <f t="shared" ref="J300:J307" si="757">IF(ISERROR(I300/H300),"-",I300/H300)</f>
        <v>-</v>
      </c>
      <c r="K300" s="1276">
        <f>+O300+S300+W300+AA300+AE300</f>
        <v>0</v>
      </c>
      <c r="L300" s="1277">
        <f>+P300+T300+X300+AB300+AF300</f>
        <v>0</v>
      </c>
      <c r="M300" s="1277">
        <f>+Q300+U300+Y300+AC300+AG300</f>
        <v>0</v>
      </c>
      <c r="N300" s="1689" t="str">
        <f t="shared" ref="N300:N307" si="758">IF(ISERROR(M300/L300),"-",M300/L300)</f>
        <v>-</v>
      </c>
      <c r="O300" s="1047"/>
      <c r="P300" s="1048"/>
      <c r="Q300" s="1048"/>
      <c r="R300" s="1699" t="str">
        <f t="shared" ref="R300:R307" si="759">IF(ISERROR(Q300/P300),"-",Q300/P300)</f>
        <v>-</v>
      </c>
      <c r="S300" s="1047"/>
      <c r="T300" s="1048"/>
      <c r="U300" s="1048"/>
      <c r="V300" s="1699" t="str">
        <f t="shared" ref="V300:V307" si="760">IF(ISERROR(U300/T300),"-",U300/T300)</f>
        <v>-</v>
      </c>
      <c r="W300" s="1047"/>
      <c r="X300" s="1048"/>
      <c r="Y300" s="1048"/>
      <c r="Z300" s="1699" t="str">
        <f t="shared" ref="Z300:Z307" si="761">IF(ISERROR(Y300/X300),"-",Y300/X300)</f>
        <v>-</v>
      </c>
      <c r="AA300" s="1047"/>
      <c r="AB300" s="1048"/>
      <c r="AC300" s="1048"/>
      <c r="AD300" s="1699" t="str">
        <f t="shared" ref="AD300:AD307" si="762">IF(ISERROR(AC300/AB300),"-",AC300/AB300)</f>
        <v>-</v>
      </c>
      <c r="AE300" s="1047"/>
      <c r="AF300" s="1048"/>
      <c r="AG300" s="1048"/>
      <c r="AH300" s="1699" t="str">
        <f t="shared" ref="AH300:AH307" si="763">IF(ISERROR(AG300/AF300),"-",AG300/AF300)</f>
        <v>-</v>
      </c>
      <c r="AI300" s="1276">
        <f>+AM300+AQ300+AU300</f>
        <v>0</v>
      </c>
      <c r="AJ300" s="1277">
        <f>+AN300+AR300+AV300</f>
        <v>0</v>
      </c>
      <c r="AK300" s="1277">
        <f>+AO300+AS300+AW300</f>
        <v>0</v>
      </c>
      <c r="AL300" s="1689" t="str">
        <f t="shared" ref="AL300:AL307" si="764">IF(ISERROR(AK300/AJ300),"-",AK300/AJ300)</f>
        <v>-</v>
      </c>
      <c r="AM300" s="1047"/>
      <c r="AN300" s="1048"/>
      <c r="AO300" s="1048"/>
      <c r="AP300" s="1699" t="str">
        <f t="shared" ref="AP300:AP307" si="765">IF(ISERROR(AO300/AN300),"-",AO300/AN300)</f>
        <v>-</v>
      </c>
      <c r="AQ300" s="1047"/>
      <c r="AR300" s="1048"/>
      <c r="AS300" s="1048"/>
      <c r="AT300" s="1699" t="str">
        <f t="shared" ref="AT300:AT307" si="766">IF(ISERROR(AS300/AR300),"-",AS300/AR300)</f>
        <v>-</v>
      </c>
      <c r="AU300" s="1047"/>
      <c r="AV300" s="1048"/>
      <c r="AW300" s="1048"/>
      <c r="AX300" s="1699" t="str">
        <f t="shared" ref="AX300:AX307" si="767">IF(ISERROR(AW300/AV300),"-",AW300/AV300)</f>
        <v>-</v>
      </c>
      <c r="AY300" s="442"/>
      <c r="AZ300" s="449"/>
      <c r="BA300" s="449"/>
      <c r="BB300" s="449"/>
    </row>
    <row r="301" spans="1:54" s="440" customFormat="1" ht="12.75" customHeight="1" thickBot="1">
      <c r="A301" s="479" t="s">
        <v>889</v>
      </c>
      <c r="B301" s="1771"/>
      <c r="C301" s="1906" t="s">
        <v>864</v>
      </c>
      <c r="D301" s="1907"/>
      <c r="E301" s="1907"/>
      <c r="F301" s="1908"/>
      <c r="G301" s="469">
        <f>SUM(G300)</f>
        <v>0</v>
      </c>
      <c r="H301" s="470">
        <f>SUM(H300)</f>
        <v>0</v>
      </c>
      <c r="I301" s="470">
        <f>SUM(I300)</f>
        <v>0</v>
      </c>
      <c r="J301" s="1635" t="str">
        <f t="shared" si="757"/>
        <v>-</v>
      </c>
      <c r="K301" s="469">
        <f t="shared" ref="K301" si="768">SUM(K300)</f>
        <v>0</v>
      </c>
      <c r="L301" s="470">
        <f t="shared" ref="L301:M301" si="769">SUM(L300)</f>
        <v>0</v>
      </c>
      <c r="M301" s="470">
        <f t="shared" si="769"/>
        <v>0</v>
      </c>
      <c r="N301" s="1635" t="str">
        <f t="shared" si="758"/>
        <v>-</v>
      </c>
      <c r="O301" s="451">
        <f t="shared" ref="O301:AU301" si="770">SUM(O300)</f>
        <v>0</v>
      </c>
      <c r="P301" s="321">
        <f t="shared" ref="P301:Q301" si="771">SUM(P300)</f>
        <v>0</v>
      </c>
      <c r="Q301" s="321">
        <f t="shared" si="771"/>
        <v>0</v>
      </c>
      <c r="R301" s="1638" t="str">
        <f t="shared" si="759"/>
        <v>-</v>
      </c>
      <c r="S301" s="451">
        <f t="shared" si="770"/>
        <v>0</v>
      </c>
      <c r="T301" s="321">
        <f t="shared" ref="T301:U301" si="772">SUM(T300)</f>
        <v>0</v>
      </c>
      <c r="U301" s="321">
        <f t="shared" si="772"/>
        <v>0</v>
      </c>
      <c r="V301" s="1638" t="str">
        <f t="shared" si="760"/>
        <v>-</v>
      </c>
      <c r="W301" s="451">
        <f t="shared" si="770"/>
        <v>0</v>
      </c>
      <c r="X301" s="321">
        <f t="shared" ref="X301:Y301" si="773">SUM(X300)</f>
        <v>0</v>
      </c>
      <c r="Y301" s="321">
        <f t="shared" si="773"/>
        <v>0</v>
      </c>
      <c r="Z301" s="1638" t="str">
        <f t="shared" si="761"/>
        <v>-</v>
      </c>
      <c r="AA301" s="451">
        <f t="shared" si="770"/>
        <v>0</v>
      </c>
      <c r="AB301" s="321">
        <f t="shared" ref="AB301:AC301" si="774">SUM(AB300)</f>
        <v>0</v>
      </c>
      <c r="AC301" s="321">
        <f t="shared" si="774"/>
        <v>0</v>
      </c>
      <c r="AD301" s="1638" t="str">
        <f t="shared" si="762"/>
        <v>-</v>
      </c>
      <c r="AE301" s="451">
        <f t="shared" si="770"/>
        <v>0</v>
      </c>
      <c r="AF301" s="321">
        <f t="shared" ref="AF301:AG301" si="775">SUM(AF300)</f>
        <v>0</v>
      </c>
      <c r="AG301" s="321">
        <f t="shared" si="775"/>
        <v>0</v>
      </c>
      <c r="AH301" s="1638" t="str">
        <f t="shared" si="763"/>
        <v>-</v>
      </c>
      <c r="AI301" s="469">
        <f t="shared" si="770"/>
        <v>0</v>
      </c>
      <c r="AJ301" s="470">
        <f t="shared" ref="AJ301:AK301" si="776">SUM(AJ300)</f>
        <v>0</v>
      </c>
      <c r="AK301" s="470">
        <f t="shared" si="776"/>
        <v>0</v>
      </c>
      <c r="AL301" s="1635" t="str">
        <f t="shared" si="764"/>
        <v>-</v>
      </c>
      <c r="AM301" s="451">
        <f t="shared" si="770"/>
        <v>0</v>
      </c>
      <c r="AN301" s="321">
        <f t="shared" ref="AN301:AO301" si="777">SUM(AN300)</f>
        <v>0</v>
      </c>
      <c r="AO301" s="321">
        <f t="shared" si="777"/>
        <v>0</v>
      </c>
      <c r="AP301" s="1638" t="str">
        <f t="shared" si="765"/>
        <v>-</v>
      </c>
      <c r="AQ301" s="451">
        <f t="shared" si="770"/>
        <v>0</v>
      </c>
      <c r="AR301" s="321">
        <f t="shared" ref="AR301:AS301" si="778">SUM(AR300)</f>
        <v>0</v>
      </c>
      <c r="AS301" s="321">
        <f t="shared" si="778"/>
        <v>0</v>
      </c>
      <c r="AT301" s="1638" t="str">
        <f t="shared" si="766"/>
        <v>-</v>
      </c>
      <c r="AU301" s="451">
        <f t="shared" si="770"/>
        <v>0</v>
      </c>
      <c r="AV301" s="321">
        <f t="shared" ref="AV301:AW301" si="779">SUM(AV300)</f>
        <v>0</v>
      </c>
      <c r="AW301" s="321">
        <f t="shared" si="779"/>
        <v>0</v>
      </c>
      <c r="AX301" s="1638" t="str">
        <f t="shared" si="767"/>
        <v>-</v>
      </c>
      <c r="AY301" s="443"/>
      <c r="AZ301" s="259"/>
      <c r="BA301" s="259"/>
      <c r="BB301" s="259"/>
    </row>
    <row r="302" spans="1:54" ht="12.75" customHeight="1">
      <c r="A302" s="793">
        <f>A300+1</f>
        <v>112</v>
      </c>
      <c r="B302" s="1784">
        <v>30</v>
      </c>
      <c r="C302" s="1070" t="s">
        <v>1084</v>
      </c>
      <c r="D302" s="864" t="s">
        <v>1085</v>
      </c>
      <c r="E302" s="1071" t="s">
        <v>1257</v>
      </c>
      <c r="F302" s="1076" t="s">
        <v>1085</v>
      </c>
      <c r="G302" s="1284">
        <f t="shared" ref="G302:I303" si="780">+K302+AI302</f>
        <v>12720</v>
      </c>
      <c r="H302" s="1285">
        <f t="shared" si="780"/>
        <v>10431</v>
      </c>
      <c r="I302" s="1285">
        <f t="shared" si="780"/>
        <v>10425</v>
      </c>
      <c r="J302" s="1694">
        <f t="shared" si="757"/>
        <v>0.99942479148691399</v>
      </c>
      <c r="K302" s="1284">
        <f t="shared" ref="K302:M303" si="781">+O302+S302+W302+AA302+AE302</f>
        <v>11420</v>
      </c>
      <c r="L302" s="1285">
        <f t="shared" si="781"/>
        <v>10143</v>
      </c>
      <c r="M302" s="1285">
        <f t="shared" si="781"/>
        <v>10137</v>
      </c>
      <c r="N302" s="1694">
        <f t="shared" si="758"/>
        <v>0.99940845903578823</v>
      </c>
      <c r="O302" s="1051">
        <v>8952</v>
      </c>
      <c r="P302" s="1052">
        <v>7643</v>
      </c>
      <c r="Q302" s="1052">
        <v>7643</v>
      </c>
      <c r="R302" s="1700">
        <f t="shared" si="759"/>
        <v>1</v>
      </c>
      <c r="S302" s="1051">
        <v>1433</v>
      </c>
      <c r="T302" s="1052">
        <v>1373</v>
      </c>
      <c r="U302" s="1052">
        <v>1373</v>
      </c>
      <c r="V302" s="1700">
        <f t="shared" si="760"/>
        <v>1</v>
      </c>
      <c r="W302" s="1051">
        <v>1035</v>
      </c>
      <c r="X302" s="1052">
        <v>1127</v>
      </c>
      <c r="Y302" s="1052">
        <v>1121</v>
      </c>
      <c r="Z302" s="1700">
        <f t="shared" si="761"/>
        <v>0.99467613132209409</v>
      </c>
      <c r="AA302" s="1051"/>
      <c r="AB302" s="1052"/>
      <c r="AC302" s="1052"/>
      <c r="AD302" s="1700" t="str">
        <f t="shared" si="762"/>
        <v>-</v>
      </c>
      <c r="AE302" s="1051"/>
      <c r="AF302" s="1052"/>
      <c r="AG302" s="1052"/>
      <c r="AH302" s="1700" t="str">
        <f t="shared" si="763"/>
        <v>-</v>
      </c>
      <c r="AI302" s="1284">
        <f t="shared" ref="AI302:AK303" si="782">+AM302+AQ302+AU302</f>
        <v>1300</v>
      </c>
      <c r="AJ302" s="1285">
        <f t="shared" si="782"/>
        <v>288</v>
      </c>
      <c r="AK302" s="1285">
        <f t="shared" si="782"/>
        <v>288</v>
      </c>
      <c r="AL302" s="1694">
        <f t="shared" si="764"/>
        <v>1</v>
      </c>
      <c r="AM302" s="1051">
        <v>1300</v>
      </c>
      <c r="AN302" s="1052">
        <v>288</v>
      </c>
      <c r="AO302" s="1052">
        <v>288</v>
      </c>
      <c r="AP302" s="1700">
        <f t="shared" si="765"/>
        <v>1</v>
      </c>
      <c r="AQ302" s="1051"/>
      <c r="AR302" s="1052"/>
      <c r="AS302" s="1052"/>
      <c r="AT302" s="1700" t="str">
        <f t="shared" si="766"/>
        <v>-</v>
      </c>
      <c r="AU302" s="1051"/>
      <c r="AV302" s="1052"/>
      <c r="AW302" s="1052"/>
      <c r="AX302" s="1700" t="str">
        <f t="shared" si="767"/>
        <v>-</v>
      </c>
      <c r="AY302" s="442"/>
      <c r="AZ302" s="449"/>
      <c r="BA302" s="449"/>
      <c r="BB302" s="449"/>
    </row>
    <row r="303" spans="1:54" ht="12.75" customHeight="1" thickBot="1">
      <c r="A303" s="485">
        <f>A302+1</f>
        <v>113</v>
      </c>
      <c r="B303" s="1785">
        <v>30</v>
      </c>
      <c r="C303" s="1059" t="s">
        <v>1011</v>
      </c>
      <c r="D303" s="476" t="s">
        <v>1012</v>
      </c>
      <c r="E303" s="829" t="s">
        <v>1257</v>
      </c>
      <c r="F303" s="1075" t="s">
        <v>1085</v>
      </c>
      <c r="G303" s="1286">
        <f t="shared" si="780"/>
        <v>3090</v>
      </c>
      <c r="H303" s="1287">
        <f t="shared" si="780"/>
        <v>15</v>
      </c>
      <c r="I303" s="1287">
        <f t="shared" si="780"/>
        <v>15</v>
      </c>
      <c r="J303" s="1695">
        <f t="shared" si="757"/>
        <v>1</v>
      </c>
      <c r="K303" s="1286">
        <f t="shared" si="781"/>
        <v>3090</v>
      </c>
      <c r="L303" s="1287">
        <f t="shared" si="781"/>
        <v>15</v>
      </c>
      <c r="M303" s="1287">
        <f t="shared" si="781"/>
        <v>15</v>
      </c>
      <c r="N303" s="1695">
        <f t="shared" si="758"/>
        <v>1</v>
      </c>
      <c r="O303" s="448"/>
      <c r="P303" s="447"/>
      <c r="Q303" s="447"/>
      <c r="R303" s="1702" t="str">
        <f t="shared" si="759"/>
        <v>-</v>
      </c>
      <c r="S303" s="448"/>
      <c r="T303" s="447"/>
      <c r="U303" s="447"/>
      <c r="V303" s="1702" t="str">
        <f t="shared" si="760"/>
        <v>-</v>
      </c>
      <c r="W303" s="448"/>
      <c r="X303" s="447"/>
      <c r="Y303" s="447"/>
      <c r="Z303" s="1702" t="str">
        <f t="shared" si="761"/>
        <v>-</v>
      </c>
      <c r="AA303" s="448"/>
      <c r="AB303" s="447"/>
      <c r="AC303" s="447"/>
      <c r="AD303" s="1702" t="str">
        <f t="shared" si="762"/>
        <v>-</v>
      </c>
      <c r="AE303" s="448">
        <v>3090</v>
      </c>
      <c r="AF303" s="447">
        <v>15</v>
      </c>
      <c r="AG303" s="447">
        <v>15</v>
      </c>
      <c r="AH303" s="1702">
        <f t="shared" si="763"/>
        <v>1</v>
      </c>
      <c r="AI303" s="1286">
        <f t="shared" si="782"/>
        <v>0</v>
      </c>
      <c r="AJ303" s="1287">
        <f t="shared" si="782"/>
        <v>0</v>
      </c>
      <c r="AK303" s="1287">
        <f t="shared" si="782"/>
        <v>0</v>
      </c>
      <c r="AL303" s="1695" t="str">
        <f t="shared" si="764"/>
        <v>-</v>
      </c>
      <c r="AM303" s="448"/>
      <c r="AN303" s="447"/>
      <c r="AO303" s="447"/>
      <c r="AP303" s="1702" t="str">
        <f t="shared" si="765"/>
        <v>-</v>
      </c>
      <c r="AQ303" s="448"/>
      <c r="AR303" s="447"/>
      <c r="AS303" s="447"/>
      <c r="AT303" s="1702" t="str">
        <f t="shared" si="766"/>
        <v>-</v>
      </c>
      <c r="AU303" s="448"/>
      <c r="AV303" s="447"/>
      <c r="AW303" s="447"/>
      <c r="AX303" s="1702" t="str">
        <f t="shared" si="767"/>
        <v>-</v>
      </c>
      <c r="AY303" s="442"/>
      <c r="AZ303" s="449"/>
      <c r="BA303" s="449"/>
      <c r="BB303" s="449"/>
    </row>
    <row r="304" spans="1:54" s="440" customFormat="1" ht="12.75" customHeight="1" thickBot="1">
      <c r="A304" s="479" t="s">
        <v>890</v>
      </c>
      <c r="B304" s="1771"/>
      <c r="C304" s="1906" t="s">
        <v>865</v>
      </c>
      <c r="D304" s="1907"/>
      <c r="E304" s="1907"/>
      <c r="F304" s="1908"/>
      <c r="G304" s="469">
        <f>SUM(G302:G303)</f>
        <v>15810</v>
      </c>
      <c r="H304" s="470">
        <f>SUM(H302:H303)</f>
        <v>10446</v>
      </c>
      <c r="I304" s="470">
        <f>SUM(I302:I303)</f>
        <v>10440</v>
      </c>
      <c r="J304" s="1635">
        <f t="shared" si="757"/>
        <v>0.99942561746122915</v>
      </c>
      <c r="K304" s="469">
        <f t="shared" ref="K304" si="783">SUM(K302:K303)</f>
        <v>14510</v>
      </c>
      <c r="L304" s="470">
        <f t="shared" ref="L304:M304" si="784">SUM(L302:L303)</f>
        <v>10158</v>
      </c>
      <c r="M304" s="470">
        <f t="shared" si="784"/>
        <v>10152</v>
      </c>
      <c r="N304" s="1635">
        <f t="shared" si="758"/>
        <v>0.99940933254577669</v>
      </c>
      <c r="O304" s="451">
        <f t="shared" ref="O304:AU304" si="785">SUM(O302:O303)</f>
        <v>8952</v>
      </c>
      <c r="P304" s="321">
        <f t="shared" ref="P304" si="786">SUM(P302:P303)</f>
        <v>7643</v>
      </c>
      <c r="Q304" s="321">
        <f t="shared" ref="Q304" si="787">SUM(Q302:Q303)</f>
        <v>7643</v>
      </c>
      <c r="R304" s="1638">
        <f t="shared" si="759"/>
        <v>1</v>
      </c>
      <c r="S304" s="451">
        <f t="shared" si="785"/>
        <v>1433</v>
      </c>
      <c r="T304" s="321">
        <f t="shared" ref="T304:U304" si="788">SUM(T302:T303)</f>
        <v>1373</v>
      </c>
      <c r="U304" s="321">
        <f t="shared" si="788"/>
        <v>1373</v>
      </c>
      <c r="V304" s="1638">
        <f t="shared" si="760"/>
        <v>1</v>
      </c>
      <c r="W304" s="451">
        <f t="shared" si="785"/>
        <v>1035</v>
      </c>
      <c r="X304" s="321">
        <f t="shared" ref="X304:Y304" si="789">SUM(X302:X303)</f>
        <v>1127</v>
      </c>
      <c r="Y304" s="321">
        <f t="shared" si="789"/>
        <v>1121</v>
      </c>
      <c r="Z304" s="1638">
        <f t="shared" si="761"/>
        <v>0.99467613132209409</v>
      </c>
      <c r="AA304" s="451">
        <f t="shared" si="785"/>
        <v>0</v>
      </c>
      <c r="AB304" s="321">
        <f t="shared" ref="AB304:AC304" si="790">SUM(AB302:AB303)</f>
        <v>0</v>
      </c>
      <c r="AC304" s="321">
        <f t="shared" si="790"/>
        <v>0</v>
      </c>
      <c r="AD304" s="1638" t="str">
        <f t="shared" si="762"/>
        <v>-</v>
      </c>
      <c r="AE304" s="451">
        <f t="shared" si="785"/>
        <v>3090</v>
      </c>
      <c r="AF304" s="321">
        <f t="shared" ref="AF304:AG304" si="791">SUM(AF302:AF303)</f>
        <v>15</v>
      </c>
      <c r="AG304" s="321">
        <f t="shared" si="791"/>
        <v>15</v>
      </c>
      <c r="AH304" s="1638">
        <f t="shared" si="763"/>
        <v>1</v>
      </c>
      <c r="AI304" s="469">
        <f t="shared" si="785"/>
        <v>1300</v>
      </c>
      <c r="AJ304" s="470">
        <f t="shared" ref="AJ304:AK304" si="792">SUM(AJ302:AJ303)</f>
        <v>288</v>
      </c>
      <c r="AK304" s="470">
        <f t="shared" si="792"/>
        <v>288</v>
      </c>
      <c r="AL304" s="1635">
        <f t="shared" si="764"/>
        <v>1</v>
      </c>
      <c r="AM304" s="451">
        <f t="shared" si="785"/>
        <v>1300</v>
      </c>
      <c r="AN304" s="321">
        <f t="shared" ref="AN304:AO304" si="793">SUM(AN302:AN303)</f>
        <v>288</v>
      </c>
      <c r="AO304" s="321">
        <f t="shared" si="793"/>
        <v>288</v>
      </c>
      <c r="AP304" s="1638">
        <f t="shared" si="765"/>
        <v>1</v>
      </c>
      <c r="AQ304" s="451">
        <f t="shared" si="785"/>
        <v>0</v>
      </c>
      <c r="AR304" s="321">
        <f t="shared" ref="AR304:AS304" si="794">SUM(AR302:AR303)</f>
        <v>0</v>
      </c>
      <c r="AS304" s="321">
        <f t="shared" si="794"/>
        <v>0</v>
      </c>
      <c r="AT304" s="1638" t="str">
        <f t="shared" si="766"/>
        <v>-</v>
      </c>
      <c r="AU304" s="451">
        <f t="shared" si="785"/>
        <v>0</v>
      </c>
      <c r="AV304" s="321">
        <f t="shared" ref="AV304:AW304" si="795">SUM(AV302:AV303)</f>
        <v>0</v>
      </c>
      <c r="AW304" s="321">
        <f t="shared" si="795"/>
        <v>0</v>
      </c>
      <c r="AX304" s="1638" t="str">
        <f t="shared" si="767"/>
        <v>-</v>
      </c>
      <c r="AY304" s="443"/>
    </row>
    <row r="305" spans="1:54" ht="12.75" customHeight="1" thickBot="1">
      <c r="A305" s="485">
        <f>+A303+1</f>
        <v>114</v>
      </c>
      <c r="B305" s="1785">
        <v>31</v>
      </c>
      <c r="C305" s="834" t="s">
        <v>19</v>
      </c>
      <c r="D305" s="476" t="s">
        <v>19</v>
      </c>
      <c r="E305" s="829" t="s">
        <v>19</v>
      </c>
      <c r="F305" s="1075" t="s">
        <v>19</v>
      </c>
      <c r="G305" s="1286">
        <f>+K305+AI305</f>
        <v>0</v>
      </c>
      <c r="H305" s="1287">
        <f>+L305+AJ305</f>
        <v>0</v>
      </c>
      <c r="I305" s="1287">
        <f>+M305+AK305</f>
        <v>0</v>
      </c>
      <c r="J305" s="1695" t="str">
        <f t="shared" si="757"/>
        <v>-</v>
      </c>
      <c r="K305" s="1286">
        <f>+O305+S305+W305+AA305+AE305</f>
        <v>0</v>
      </c>
      <c r="L305" s="1287">
        <f>+P305+T305+X305+AB305+AF305</f>
        <v>0</v>
      </c>
      <c r="M305" s="1287">
        <f>+Q305+U305+Y305+AC305+AG305</f>
        <v>0</v>
      </c>
      <c r="N305" s="1695" t="str">
        <f t="shared" si="758"/>
        <v>-</v>
      </c>
      <c r="O305" s="448"/>
      <c r="P305" s="447"/>
      <c r="Q305" s="447"/>
      <c r="R305" s="1699" t="str">
        <f t="shared" si="759"/>
        <v>-</v>
      </c>
      <c r="S305" s="448"/>
      <c r="T305" s="447"/>
      <c r="U305" s="447"/>
      <c r="V305" s="1699" t="str">
        <f t="shared" si="760"/>
        <v>-</v>
      </c>
      <c r="W305" s="448"/>
      <c r="X305" s="447"/>
      <c r="Y305" s="447"/>
      <c r="Z305" s="1699" t="str">
        <f t="shared" si="761"/>
        <v>-</v>
      </c>
      <c r="AA305" s="448"/>
      <c r="AB305" s="447"/>
      <c r="AC305" s="447"/>
      <c r="AD305" s="1699" t="str">
        <f t="shared" si="762"/>
        <v>-</v>
      </c>
      <c r="AE305" s="448"/>
      <c r="AF305" s="447"/>
      <c r="AG305" s="447"/>
      <c r="AH305" s="1699" t="str">
        <f t="shared" si="763"/>
        <v>-</v>
      </c>
      <c r="AI305" s="1286">
        <f>+AM305+AQ305+AU305</f>
        <v>0</v>
      </c>
      <c r="AJ305" s="1287">
        <f>+AN305+AR305+AV305</f>
        <v>0</v>
      </c>
      <c r="AK305" s="1287">
        <f>+AO305+AS305+AW305</f>
        <v>0</v>
      </c>
      <c r="AL305" s="1695" t="str">
        <f t="shared" si="764"/>
        <v>-</v>
      </c>
      <c r="AM305" s="448"/>
      <c r="AN305" s="447"/>
      <c r="AO305" s="447"/>
      <c r="AP305" s="1699" t="str">
        <f t="shared" si="765"/>
        <v>-</v>
      </c>
      <c r="AQ305" s="448"/>
      <c r="AR305" s="447"/>
      <c r="AS305" s="447"/>
      <c r="AT305" s="1699" t="str">
        <f t="shared" si="766"/>
        <v>-</v>
      </c>
      <c r="AU305" s="448"/>
      <c r="AV305" s="447"/>
      <c r="AW305" s="447"/>
      <c r="AX305" s="1699" t="str">
        <f t="shared" si="767"/>
        <v>-</v>
      </c>
      <c r="AY305" s="442"/>
      <c r="AZ305" s="449"/>
      <c r="BA305" s="449"/>
      <c r="BB305" s="449"/>
    </row>
    <row r="306" spans="1:54" s="440" customFormat="1" ht="12.75" customHeight="1" thickBot="1">
      <c r="A306" s="479" t="s">
        <v>891</v>
      </c>
      <c r="B306" s="1771"/>
      <c r="C306" s="1906" t="s">
        <v>892</v>
      </c>
      <c r="D306" s="1907"/>
      <c r="E306" s="1907"/>
      <c r="F306" s="1908"/>
      <c r="G306" s="469">
        <f>SUM(G305)</f>
        <v>0</v>
      </c>
      <c r="H306" s="470">
        <f>SUM(H305)</f>
        <v>0</v>
      </c>
      <c r="I306" s="470">
        <f>SUM(I305)</f>
        <v>0</v>
      </c>
      <c r="J306" s="1635" t="str">
        <f t="shared" si="757"/>
        <v>-</v>
      </c>
      <c r="K306" s="469">
        <f t="shared" ref="K306" si="796">SUM(K305)</f>
        <v>0</v>
      </c>
      <c r="L306" s="470">
        <f t="shared" ref="L306:M306" si="797">SUM(L305)</f>
        <v>0</v>
      </c>
      <c r="M306" s="470">
        <f t="shared" si="797"/>
        <v>0</v>
      </c>
      <c r="N306" s="1635" t="str">
        <f t="shared" si="758"/>
        <v>-</v>
      </c>
      <c r="O306" s="451">
        <f t="shared" ref="O306:AU306" si="798">SUM(O305)</f>
        <v>0</v>
      </c>
      <c r="P306" s="321">
        <f t="shared" ref="P306:Q306" si="799">SUM(P305)</f>
        <v>0</v>
      </c>
      <c r="Q306" s="321">
        <f t="shared" si="799"/>
        <v>0</v>
      </c>
      <c r="R306" s="1638" t="str">
        <f t="shared" si="759"/>
        <v>-</v>
      </c>
      <c r="S306" s="451">
        <f t="shared" si="798"/>
        <v>0</v>
      </c>
      <c r="T306" s="321">
        <f t="shared" ref="T306:U306" si="800">SUM(T305)</f>
        <v>0</v>
      </c>
      <c r="U306" s="321">
        <f t="shared" si="800"/>
        <v>0</v>
      </c>
      <c r="V306" s="1638" t="str">
        <f t="shared" si="760"/>
        <v>-</v>
      </c>
      <c r="W306" s="451">
        <f t="shared" si="798"/>
        <v>0</v>
      </c>
      <c r="X306" s="321">
        <f t="shared" ref="X306:Y306" si="801">SUM(X305)</f>
        <v>0</v>
      </c>
      <c r="Y306" s="321">
        <f t="shared" si="801"/>
        <v>0</v>
      </c>
      <c r="Z306" s="1638" t="str">
        <f t="shared" si="761"/>
        <v>-</v>
      </c>
      <c r="AA306" s="451">
        <f t="shared" si="798"/>
        <v>0</v>
      </c>
      <c r="AB306" s="321">
        <f t="shared" ref="AB306:AC306" si="802">SUM(AB305)</f>
        <v>0</v>
      </c>
      <c r="AC306" s="321">
        <f t="shared" si="802"/>
        <v>0</v>
      </c>
      <c r="AD306" s="1638" t="str">
        <f t="shared" si="762"/>
        <v>-</v>
      </c>
      <c r="AE306" s="451">
        <f t="shared" si="798"/>
        <v>0</v>
      </c>
      <c r="AF306" s="321">
        <f t="shared" ref="AF306:AG306" si="803">SUM(AF305)</f>
        <v>0</v>
      </c>
      <c r="AG306" s="321">
        <f t="shared" si="803"/>
        <v>0</v>
      </c>
      <c r="AH306" s="1638" t="str">
        <f t="shared" si="763"/>
        <v>-</v>
      </c>
      <c r="AI306" s="469">
        <f t="shared" si="798"/>
        <v>0</v>
      </c>
      <c r="AJ306" s="470">
        <f t="shared" ref="AJ306:AK306" si="804">SUM(AJ305)</f>
        <v>0</v>
      </c>
      <c r="AK306" s="470">
        <f t="shared" si="804"/>
        <v>0</v>
      </c>
      <c r="AL306" s="1635" t="str">
        <f t="shared" si="764"/>
        <v>-</v>
      </c>
      <c r="AM306" s="451">
        <f t="shared" si="798"/>
        <v>0</v>
      </c>
      <c r="AN306" s="321">
        <f t="shared" ref="AN306:AO306" si="805">SUM(AN305)</f>
        <v>0</v>
      </c>
      <c r="AO306" s="321">
        <f t="shared" si="805"/>
        <v>0</v>
      </c>
      <c r="AP306" s="1638" t="str">
        <f t="shared" si="765"/>
        <v>-</v>
      </c>
      <c r="AQ306" s="451">
        <f t="shared" si="798"/>
        <v>0</v>
      </c>
      <c r="AR306" s="321">
        <f t="shared" ref="AR306:AS306" si="806">SUM(AR305)</f>
        <v>0</v>
      </c>
      <c r="AS306" s="321">
        <f t="shared" si="806"/>
        <v>0</v>
      </c>
      <c r="AT306" s="1638" t="str">
        <f t="shared" si="766"/>
        <v>-</v>
      </c>
      <c r="AU306" s="451">
        <f t="shared" si="798"/>
        <v>0</v>
      </c>
      <c r="AV306" s="321">
        <f t="shared" ref="AV306:AW306" si="807">SUM(AV305)</f>
        <v>0</v>
      </c>
      <c r="AW306" s="321">
        <f t="shared" si="807"/>
        <v>0</v>
      </c>
      <c r="AX306" s="1638" t="str">
        <f t="shared" si="767"/>
        <v>-</v>
      </c>
      <c r="AY306" s="443"/>
    </row>
    <row r="307" spans="1:54" s="449" customFormat="1" ht="12.75" customHeight="1" thickBot="1">
      <c r="A307" s="480" t="s">
        <v>560</v>
      </c>
      <c r="B307" s="1782"/>
      <c r="C307" s="1900" t="s">
        <v>866</v>
      </c>
      <c r="D307" s="1901"/>
      <c r="E307" s="1901"/>
      <c r="F307" s="1902"/>
      <c r="G307" s="453">
        <f>+G301+G304+G306</f>
        <v>15810</v>
      </c>
      <c r="H307" s="454">
        <f>+H301+H304+H306</f>
        <v>10446</v>
      </c>
      <c r="I307" s="454">
        <f>+I301+I304+I306</f>
        <v>10440</v>
      </c>
      <c r="J307" s="1692">
        <f t="shared" si="757"/>
        <v>0.99942561746122915</v>
      </c>
      <c r="K307" s="453">
        <f t="shared" ref="K307" si="808">+K301+K304+K306</f>
        <v>14510</v>
      </c>
      <c r="L307" s="454">
        <f t="shared" ref="L307:M307" si="809">+L301+L304+L306</f>
        <v>10158</v>
      </c>
      <c r="M307" s="454">
        <f t="shared" si="809"/>
        <v>10152</v>
      </c>
      <c r="N307" s="1692">
        <f t="shared" si="758"/>
        <v>0.99940933254577669</v>
      </c>
      <c r="O307" s="453">
        <f t="shared" ref="O307:AU307" si="810">+O301+O304+O306</f>
        <v>8952</v>
      </c>
      <c r="P307" s="454">
        <f t="shared" ref="P307:Q307" si="811">+P301+P304+P306</f>
        <v>7643</v>
      </c>
      <c r="Q307" s="464">
        <f t="shared" si="811"/>
        <v>7643</v>
      </c>
      <c r="R307" s="1696">
        <f t="shared" si="759"/>
        <v>1</v>
      </c>
      <c r="S307" s="453">
        <f t="shared" si="810"/>
        <v>1433</v>
      </c>
      <c r="T307" s="454">
        <f t="shared" ref="T307:U307" si="812">+T301+T304+T306</f>
        <v>1373</v>
      </c>
      <c r="U307" s="464">
        <f t="shared" si="812"/>
        <v>1373</v>
      </c>
      <c r="V307" s="1696">
        <f t="shared" si="760"/>
        <v>1</v>
      </c>
      <c r="W307" s="453">
        <f t="shared" si="810"/>
        <v>1035</v>
      </c>
      <c r="X307" s="454">
        <f t="shared" ref="X307:Y307" si="813">+X301+X304+X306</f>
        <v>1127</v>
      </c>
      <c r="Y307" s="464">
        <f t="shared" si="813"/>
        <v>1121</v>
      </c>
      <c r="Z307" s="1696">
        <f t="shared" si="761"/>
        <v>0.99467613132209409</v>
      </c>
      <c r="AA307" s="453">
        <f t="shared" si="810"/>
        <v>0</v>
      </c>
      <c r="AB307" s="454">
        <f t="shared" ref="AB307:AC307" si="814">+AB301+AB304+AB306</f>
        <v>0</v>
      </c>
      <c r="AC307" s="464">
        <f t="shared" si="814"/>
        <v>0</v>
      </c>
      <c r="AD307" s="1696" t="str">
        <f t="shared" si="762"/>
        <v>-</v>
      </c>
      <c r="AE307" s="453">
        <f t="shared" si="810"/>
        <v>3090</v>
      </c>
      <c r="AF307" s="454">
        <f t="shared" ref="AF307:AG307" si="815">+AF301+AF304+AF306</f>
        <v>15</v>
      </c>
      <c r="AG307" s="464">
        <f t="shared" si="815"/>
        <v>15</v>
      </c>
      <c r="AH307" s="1696">
        <f t="shared" si="763"/>
        <v>1</v>
      </c>
      <c r="AI307" s="453">
        <f t="shared" si="810"/>
        <v>1300</v>
      </c>
      <c r="AJ307" s="454">
        <f t="shared" ref="AJ307:AK307" si="816">+AJ301+AJ304+AJ306</f>
        <v>288</v>
      </c>
      <c r="AK307" s="454">
        <f t="shared" si="816"/>
        <v>288</v>
      </c>
      <c r="AL307" s="1692">
        <f t="shared" si="764"/>
        <v>1</v>
      </c>
      <c r="AM307" s="453">
        <f t="shared" si="810"/>
        <v>1300</v>
      </c>
      <c r="AN307" s="454">
        <f t="shared" ref="AN307:AO307" si="817">+AN301+AN304+AN306</f>
        <v>288</v>
      </c>
      <c r="AO307" s="464">
        <f t="shared" si="817"/>
        <v>288</v>
      </c>
      <c r="AP307" s="1696">
        <f t="shared" si="765"/>
        <v>1</v>
      </c>
      <c r="AQ307" s="453">
        <f t="shared" si="810"/>
        <v>0</v>
      </c>
      <c r="AR307" s="454">
        <f t="shared" ref="AR307:AS307" si="818">+AR301+AR304+AR306</f>
        <v>0</v>
      </c>
      <c r="AS307" s="464">
        <f t="shared" si="818"/>
        <v>0</v>
      </c>
      <c r="AT307" s="1696" t="str">
        <f t="shared" si="766"/>
        <v>-</v>
      </c>
      <c r="AU307" s="453">
        <f t="shared" si="810"/>
        <v>0</v>
      </c>
      <c r="AV307" s="454">
        <f t="shared" ref="AV307:AW307" si="819">+AV301+AV304+AV306</f>
        <v>0</v>
      </c>
      <c r="AW307" s="464">
        <f t="shared" si="819"/>
        <v>0</v>
      </c>
      <c r="AX307" s="1696" t="str">
        <f t="shared" si="767"/>
        <v>-</v>
      </c>
      <c r="AY307" s="723"/>
      <c r="AZ307" s="440"/>
      <c r="BA307" s="440"/>
      <c r="BB307" s="440"/>
    </row>
    <row r="308" spans="1:54" s="440" customFormat="1" ht="12.75" thickBot="1">
      <c r="A308" s="479"/>
      <c r="B308" s="1775"/>
      <c r="C308" s="833"/>
      <c r="D308" s="478"/>
      <c r="E308" s="828"/>
      <c r="F308" s="450"/>
      <c r="G308" s="469"/>
      <c r="H308" s="470"/>
      <c r="I308" s="470"/>
      <c r="J308" s="1635"/>
      <c r="K308" s="469"/>
      <c r="L308" s="470"/>
      <c r="M308" s="470"/>
      <c r="N308" s="1635"/>
      <c r="O308" s="460"/>
      <c r="P308" s="461"/>
      <c r="Q308" s="321"/>
      <c r="R308" s="1638"/>
      <c r="S308" s="460"/>
      <c r="T308" s="461"/>
      <c r="U308" s="321"/>
      <c r="V308" s="1638"/>
      <c r="W308" s="460"/>
      <c r="X308" s="461"/>
      <c r="Y308" s="321"/>
      <c r="Z308" s="1638"/>
      <c r="AA308" s="460"/>
      <c r="AB308" s="461"/>
      <c r="AC308" s="321"/>
      <c r="AD308" s="1638"/>
      <c r="AE308" s="460"/>
      <c r="AF308" s="461"/>
      <c r="AG308" s="321"/>
      <c r="AH308" s="1638"/>
      <c r="AI308" s="469"/>
      <c r="AJ308" s="470"/>
      <c r="AK308" s="470"/>
      <c r="AL308" s="1635"/>
      <c r="AM308" s="460"/>
      <c r="AN308" s="461"/>
      <c r="AO308" s="321"/>
      <c r="AP308" s="1638"/>
      <c r="AQ308" s="460"/>
      <c r="AR308" s="461"/>
      <c r="AS308" s="321"/>
      <c r="AT308" s="1638"/>
      <c r="AU308" s="460"/>
      <c r="AV308" s="461"/>
      <c r="AW308" s="321"/>
      <c r="AX308" s="1638"/>
      <c r="AY308" s="443"/>
      <c r="AZ308" s="259"/>
      <c r="BA308" s="259"/>
      <c r="BB308" s="259"/>
    </row>
    <row r="309" spans="1:54">
      <c r="A309" s="483">
        <f>+A305+1</f>
        <v>115</v>
      </c>
      <c r="B309" s="1781">
        <v>32</v>
      </c>
      <c r="C309" s="1059" t="s">
        <v>1032</v>
      </c>
      <c r="D309" s="860" t="s">
        <v>1033</v>
      </c>
      <c r="E309" s="1060" t="s">
        <v>1277</v>
      </c>
      <c r="F309" s="1073" t="s">
        <v>1034</v>
      </c>
      <c r="G309" s="1280">
        <f t="shared" ref="G309:I313" si="820">+K309+AI309</f>
        <v>0</v>
      </c>
      <c r="H309" s="1281">
        <f t="shared" si="820"/>
        <v>0</v>
      </c>
      <c r="I309" s="1281">
        <f t="shared" si="820"/>
        <v>0</v>
      </c>
      <c r="J309" s="1668" t="str">
        <f t="shared" ref="J309:J319" si="821">IF(ISERROR(I309/H309),"-",I309/H309)</f>
        <v>-</v>
      </c>
      <c r="K309" s="1280">
        <f t="shared" ref="K309:M313" si="822">+O309+S309+W309+AA309+AE309</f>
        <v>0</v>
      </c>
      <c r="L309" s="1281">
        <f t="shared" si="822"/>
        <v>0</v>
      </c>
      <c r="M309" s="1281">
        <f t="shared" si="822"/>
        <v>0</v>
      </c>
      <c r="N309" s="1668" t="str">
        <f t="shared" ref="N309:N319" si="823">IF(ISERROR(M309/L309),"-",M309/L309)</f>
        <v>-</v>
      </c>
      <c r="O309" s="1047"/>
      <c r="P309" s="1048"/>
      <c r="Q309" s="1048"/>
      <c r="R309" s="1699" t="str">
        <f t="shared" ref="R309:R319" si="824">IF(ISERROR(Q309/P309),"-",Q309/P309)</f>
        <v>-</v>
      </c>
      <c r="S309" s="1047"/>
      <c r="T309" s="1048"/>
      <c r="U309" s="1048"/>
      <c r="V309" s="1699" t="str">
        <f t="shared" ref="V309:V319" si="825">IF(ISERROR(U309/T309),"-",U309/T309)</f>
        <v>-</v>
      </c>
      <c r="W309" s="1047"/>
      <c r="X309" s="1048"/>
      <c r="Y309" s="1048"/>
      <c r="Z309" s="1699" t="str">
        <f t="shared" ref="Z309:Z319" si="826">IF(ISERROR(Y309/X309),"-",Y309/X309)</f>
        <v>-</v>
      </c>
      <c r="AA309" s="1047"/>
      <c r="AB309" s="1048"/>
      <c r="AC309" s="1048"/>
      <c r="AD309" s="1699" t="str">
        <f t="shared" ref="AD309:AD319" si="827">IF(ISERROR(AC309/AB309),"-",AC309/AB309)</f>
        <v>-</v>
      </c>
      <c r="AE309" s="1047"/>
      <c r="AF309" s="1048"/>
      <c r="AG309" s="1048"/>
      <c r="AH309" s="1699" t="str">
        <f t="shared" ref="AH309:AH319" si="828">IF(ISERROR(AG309/AF309),"-",AG309/AF309)</f>
        <v>-</v>
      </c>
      <c r="AI309" s="1280">
        <f t="shared" ref="AI309:AK313" si="829">+AM309+AQ309+AU309</f>
        <v>0</v>
      </c>
      <c r="AJ309" s="1281">
        <f t="shared" si="829"/>
        <v>0</v>
      </c>
      <c r="AK309" s="1281">
        <f t="shared" si="829"/>
        <v>0</v>
      </c>
      <c r="AL309" s="1668" t="str">
        <f t="shared" ref="AL309:AL319" si="830">IF(ISERROR(AK309/AJ309),"-",AK309/AJ309)</f>
        <v>-</v>
      </c>
      <c r="AM309" s="1047"/>
      <c r="AN309" s="1048"/>
      <c r="AO309" s="1048"/>
      <c r="AP309" s="1699" t="str">
        <f t="shared" ref="AP309:AP319" si="831">IF(ISERROR(AO309/AN309),"-",AO309/AN309)</f>
        <v>-</v>
      </c>
      <c r="AQ309" s="1047"/>
      <c r="AR309" s="1048"/>
      <c r="AS309" s="1048"/>
      <c r="AT309" s="1699" t="str">
        <f t="shared" ref="AT309:AT319" si="832">IF(ISERROR(AS309/AR309),"-",AS309/AR309)</f>
        <v>-</v>
      </c>
      <c r="AU309" s="1047"/>
      <c r="AV309" s="1048"/>
      <c r="AW309" s="1048"/>
      <c r="AX309" s="1699" t="str">
        <f t="shared" ref="AX309:AX319" si="833">IF(ISERROR(AW309/AV309),"-",AW309/AV309)</f>
        <v>-</v>
      </c>
      <c r="AY309" s="442"/>
    </row>
    <row r="310" spans="1:54">
      <c r="A310" s="483">
        <f>+A309+1</f>
        <v>116</v>
      </c>
      <c r="B310" s="1781">
        <v>32</v>
      </c>
      <c r="C310" s="1059" t="s">
        <v>1032</v>
      </c>
      <c r="D310" s="860" t="s">
        <v>1033</v>
      </c>
      <c r="E310" s="1060" t="s">
        <v>1278</v>
      </c>
      <c r="F310" s="1073" t="s">
        <v>1035</v>
      </c>
      <c r="G310" s="1280">
        <f t="shared" si="820"/>
        <v>41371</v>
      </c>
      <c r="H310" s="1281">
        <f t="shared" si="820"/>
        <v>90151</v>
      </c>
      <c r="I310" s="1281">
        <f t="shared" si="820"/>
        <v>90075</v>
      </c>
      <c r="J310" s="1668">
        <f t="shared" si="821"/>
        <v>0.99915696997260151</v>
      </c>
      <c r="K310" s="1280">
        <f t="shared" si="822"/>
        <v>41371</v>
      </c>
      <c r="L310" s="1281">
        <f t="shared" si="822"/>
        <v>48096</v>
      </c>
      <c r="M310" s="1281">
        <f t="shared" si="822"/>
        <v>48020</v>
      </c>
      <c r="N310" s="1668">
        <f t="shared" si="823"/>
        <v>0.99841982701264143</v>
      </c>
      <c r="O310" s="1047">
        <v>32088</v>
      </c>
      <c r="P310" s="1048">
        <f>35617+50</f>
        <v>35667</v>
      </c>
      <c r="Q310" s="1048">
        <v>35617</v>
      </c>
      <c r="R310" s="1699">
        <f t="shared" si="824"/>
        <v>0.99859814394257995</v>
      </c>
      <c r="S310" s="1049">
        <v>6223</v>
      </c>
      <c r="T310" s="1050">
        <v>6694</v>
      </c>
      <c r="U310" s="1048">
        <v>6694</v>
      </c>
      <c r="V310" s="1699">
        <f t="shared" si="825"/>
        <v>1</v>
      </c>
      <c r="W310" s="1049">
        <v>3060</v>
      </c>
      <c r="X310" s="1050">
        <f>5709+26</f>
        <v>5735</v>
      </c>
      <c r="Y310" s="1048">
        <v>5709</v>
      </c>
      <c r="Z310" s="1699">
        <f t="shared" si="826"/>
        <v>0.99546643417611158</v>
      </c>
      <c r="AA310" s="1049"/>
      <c r="AB310" s="1050"/>
      <c r="AC310" s="1048"/>
      <c r="AD310" s="1699" t="str">
        <f t="shared" si="827"/>
        <v>-</v>
      </c>
      <c r="AE310" s="1049"/>
      <c r="AF310" s="1050"/>
      <c r="AG310" s="1048"/>
      <c r="AH310" s="1699" t="str">
        <f t="shared" si="828"/>
        <v>-</v>
      </c>
      <c r="AI310" s="1280">
        <f t="shared" si="829"/>
        <v>0</v>
      </c>
      <c r="AJ310" s="1281">
        <f t="shared" si="829"/>
        <v>42055</v>
      </c>
      <c r="AK310" s="1281">
        <f t="shared" si="829"/>
        <v>42055</v>
      </c>
      <c r="AL310" s="1668">
        <f t="shared" si="830"/>
        <v>1</v>
      </c>
      <c r="AM310" s="1049"/>
      <c r="AN310" s="1050">
        <v>37546</v>
      </c>
      <c r="AO310" s="1048">
        <v>37546</v>
      </c>
      <c r="AP310" s="1699">
        <f t="shared" si="831"/>
        <v>1</v>
      </c>
      <c r="AQ310" s="1049"/>
      <c r="AR310" s="1050">
        <v>4509</v>
      </c>
      <c r="AS310" s="1048">
        <v>4509</v>
      </c>
      <c r="AT310" s="1699">
        <f t="shared" si="832"/>
        <v>1</v>
      </c>
      <c r="AU310" s="1049"/>
      <c r="AV310" s="1050"/>
      <c r="AW310" s="1048"/>
      <c r="AX310" s="1699" t="str">
        <f t="shared" si="833"/>
        <v>-</v>
      </c>
      <c r="AY310" s="442"/>
    </row>
    <row r="311" spans="1:54">
      <c r="A311" s="483">
        <f>+A310+1</f>
        <v>117</v>
      </c>
      <c r="B311" s="1781">
        <v>32</v>
      </c>
      <c r="C311" s="1059" t="s">
        <v>1037</v>
      </c>
      <c r="D311" s="860" t="s">
        <v>1036</v>
      </c>
      <c r="E311" s="1060" t="s">
        <v>1277</v>
      </c>
      <c r="F311" s="1073" t="s">
        <v>1034</v>
      </c>
      <c r="G311" s="1280">
        <f t="shared" si="820"/>
        <v>32490</v>
      </c>
      <c r="H311" s="1281">
        <f t="shared" si="820"/>
        <v>27960</v>
      </c>
      <c r="I311" s="1281">
        <f t="shared" si="820"/>
        <v>27960</v>
      </c>
      <c r="J311" s="1668">
        <f t="shared" si="821"/>
        <v>1</v>
      </c>
      <c r="K311" s="1280">
        <f t="shared" si="822"/>
        <v>32490</v>
      </c>
      <c r="L311" s="1281">
        <f t="shared" si="822"/>
        <v>27860</v>
      </c>
      <c r="M311" s="1281">
        <f t="shared" si="822"/>
        <v>27860</v>
      </c>
      <c r="N311" s="1668">
        <f t="shared" si="823"/>
        <v>1</v>
      </c>
      <c r="O311" s="1047">
        <v>22282</v>
      </c>
      <c r="P311" s="1048">
        <v>22971</v>
      </c>
      <c r="Q311" s="1048">
        <v>22971</v>
      </c>
      <c r="R311" s="1699">
        <f t="shared" si="824"/>
        <v>1</v>
      </c>
      <c r="S311" s="1049">
        <v>4348</v>
      </c>
      <c r="T311" s="1050">
        <v>4150</v>
      </c>
      <c r="U311" s="1048">
        <v>4150</v>
      </c>
      <c r="V311" s="1699">
        <f t="shared" si="825"/>
        <v>1</v>
      </c>
      <c r="W311" s="1049">
        <v>5860</v>
      </c>
      <c r="X311" s="1050">
        <v>739</v>
      </c>
      <c r="Y311" s="1048">
        <v>739</v>
      </c>
      <c r="Z311" s="1699">
        <f t="shared" si="826"/>
        <v>1</v>
      </c>
      <c r="AA311" s="1049"/>
      <c r="AB311" s="1050"/>
      <c r="AC311" s="1048"/>
      <c r="AD311" s="1699" t="str">
        <f t="shared" si="827"/>
        <v>-</v>
      </c>
      <c r="AE311" s="1049"/>
      <c r="AF311" s="1050"/>
      <c r="AG311" s="1048"/>
      <c r="AH311" s="1699" t="str">
        <f t="shared" si="828"/>
        <v>-</v>
      </c>
      <c r="AI311" s="1280">
        <f t="shared" si="829"/>
        <v>0</v>
      </c>
      <c r="AJ311" s="1281">
        <f t="shared" si="829"/>
        <v>100</v>
      </c>
      <c r="AK311" s="1281">
        <f t="shared" si="829"/>
        <v>100</v>
      </c>
      <c r="AL311" s="1668">
        <f t="shared" si="830"/>
        <v>1</v>
      </c>
      <c r="AM311" s="1049"/>
      <c r="AN311" s="1050">
        <v>100</v>
      </c>
      <c r="AO311" s="1048">
        <v>100</v>
      </c>
      <c r="AP311" s="1699">
        <f t="shared" si="831"/>
        <v>1</v>
      </c>
      <c r="AQ311" s="1049"/>
      <c r="AR311" s="1050"/>
      <c r="AS311" s="1048"/>
      <c r="AT311" s="1699" t="str">
        <f t="shared" si="832"/>
        <v>-</v>
      </c>
      <c r="AU311" s="1049"/>
      <c r="AV311" s="1050"/>
      <c r="AW311" s="1048"/>
      <c r="AX311" s="1699" t="str">
        <f t="shared" si="833"/>
        <v>-</v>
      </c>
      <c r="AY311" s="442"/>
    </row>
    <row r="312" spans="1:54" s="449" customFormat="1">
      <c r="A312" s="483">
        <f t="shared" ref="A312:A313" si="834">+A311+1</f>
        <v>118</v>
      </c>
      <c r="B312" s="1781">
        <v>32</v>
      </c>
      <c r="C312" s="1059" t="s">
        <v>1037</v>
      </c>
      <c r="D312" s="860" t="s">
        <v>1036</v>
      </c>
      <c r="E312" s="1060" t="s">
        <v>1278</v>
      </c>
      <c r="F312" s="1073" t="s">
        <v>1035</v>
      </c>
      <c r="G312" s="1280">
        <f t="shared" si="820"/>
        <v>0</v>
      </c>
      <c r="H312" s="1281">
        <f t="shared" si="820"/>
        <v>0</v>
      </c>
      <c r="I312" s="1281">
        <f t="shared" si="820"/>
        <v>0</v>
      </c>
      <c r="J312" s="1668" t="str">
        <f t="shared" si="821"/>
        <v>-</v>
      </c>
      <c r="K312" s="1280">
        <f t="shared" si="822"/>
        <v>0</v>
      </c>
      <c r="L312" s="1281">
        <f t="shared" si="822"/>
        <v>0</v>
      </c>
      <c r="M312" s="1281">
        <f t="shared" si="822"/>
        <v>0</v>
      </c>
      <c r="N312" s="1668" t="str">
        <f t="shared" si="823"/>
        <v>-</v>
      </c>
      <c r="O312" s="1047"/>
      <c r="P312" s="1048"/>
      <c r="Q312" s="1048"/>
      <c r="R312" s="1699" t="str">
        <f t="shared" si="824"/>
        <v>-</v>
      </c>
      <c r="S312" s="1049"/>
      <c r="T312" s="1050"/>
      <c r="U312" s="1048"/>
      <c r="V312" s="1699" t="str">
        <f t="shared" si="825"/>
        <v>-</v>
      </c>
      <c r="W312" s="1049"/>
      <c r="X312" s="1050"/>
      <c r="Y312" s="1048"/>
      <c r="Z312" s="1699" t="str">
        <f t="shared" si="826"/>
        <v>-</v>
      </c>
      <c r="AA312" s="1049"/>
      <c r="AB312" s="1050"/>
      <c r="AC312" s="1048"/>
      <c r="AD312" s="1699" t="str">
        <f t="shared" si="827"/>
        <v>-</v>
      </c>
      <c r="AE312" s="1049"/>
      <c r="AF312" s="1050"/>
      <c r="AG312" s="1048"/>
      <c r="AH312" s="1699" t="str">
        <f t="shared" si="828"/>
        <v>-</v>
      </c>
      <c r="AI312" s="1280">
        <f t="shared" si="829"/>
        <v>0</v>
      </c>
      <c r="AJ312" s="1281">
        <f t="shared" si="829"/>
        <v>0</v>
      </c>
      <c r="AK312" s="1281">
        <f t="shared" si="829"/>
        <v>0</v>
      </c>
      <c r="AL312" s="1668" t="str">
        <f t="shared" si="830"/>
        <v>-</v>
      </c>
      <c r="AM312" s="1049"/>
      <c r="AN312" s="1050"/>
      <c r="AO312" s="1048"/>
      <c r="AP312" s="1699" t="str">
        <f t="shared" si="831"/>
        <v>-</v>
      </c>
      <c r="AQ312" s="1049"/>
      <c r="AR312" s="1050"/>
      <c r="AS312" s="1048"/>
      <c r="AT312" s="1699" t="str">
        <f t="shared" si="832"/>
        <v>-</v>
      </c>
      <c r="AU312" s="1049"/>
      <c r="AV312" s="1050"/>
      <c r="AW312" s="1048"/>
      <c r="AX312" s="1699" t="str">
        <f t="shared" si="833"/>
        <v>-</v>
      </c>
      <c r="AY312" s="442"/>
      <c r="AZ312" s="259"/>
      <c r="BA312" s="259"/>
      <c r="BB312" s="259"/>
    </row>
    <row r="313" spans="1:54" s="449" customFormat="1" ht="12.75" thickBot="1">
      <c r="A313" s="483">
        <f t="shared" si="834"/>
        <v>119</v>
      </c>
      <c r="B313" s="1781">
        <v>32</v>
      </c>
      <c r="C313" s="1059" t="s">
        <v>1011</v>
      </c>
      <c r="D313" s="860" t="s">
        <v>1012</v>
      </c>
      <c r="E313" s="1060" t="s">
        <v>1277</v>
      </c>
      <c r="F313" s="1073" t="s">
        <v>1034</v>
      </c>
      <c r="G313" s="1280">
        <f t="shared" si="820"/>
        <v>0</v>
      </c>
      <c r="H313" s="1281">
        <f t="shared" si="820"/>
        <v>147</v>
      </c>
      <c r="I313" s="1281">
        <f t="shared" si="820"/>
        <v>147</v>
      </c>
      <c r="J313" s="1668">
        <f t="shared" si="821"/>
        <v>1</v>
      </c>
      <c r="K313" s="1280">
        <f t="shared" si="822"/>
        <v>0</v>
      </c>
      <c r="L313" s="1281">
        <f t="shared" si="822"/>
        <v>147</v>
      </c>
      <c r="M313" s="1281">
        <f t="shared" si="822"/>
        <v>147</v>
      </c>
      <c r="N313" s="1668">
        <f t="shared" si="823"/>
        <v>1</v>
      </c>
      <c r="O313" s="1047"/>
      <c r="P313" s="1048"/>
      <c r="Q313" s="1048"/>
      <c r="R313" s="1699" t="str">
        <f t="shared" si="824"/>
        <v>-</v>
      </c>
      <c r="S313" s="1049"/>
      <c r="T313" s="1050"/>
      <c r="U313" s="1048"/>
      <c r="V313" s="1699" t="str">
        <f t="shared" si="825"/>
        <v>-</v>
      </c>
      <c r="W313" s="1049"/>
      <c r="X313" s="1050"/>
      <c r="Y313" s="1048"/>
      <c r="Z313" s="1699" t="str">
        <f t="shared" si="826"/>
        <v>-</v>
      </c>
      <c r="AA313" s="1049"/>
      <c r="AB313" s="1050"/>
      <c r="AC313" s="1048"/>
      <c r="AD313" s="1699" t="str">
        <f t="shared" si="827"/>
        <v>-</v>
      </c>
      <c r="AE313" s="1049"/>
      <c r="AF313" s="1050">
        <f>0+147</f>
        <v>147</v>
      </c>
      <c r="AG313" s="1048">
        <v>147</v>
      </c>
      <c r="AH313" s="1699">
        <f t="shared" si="828"/>
        <v>1</v>
      </c>
      <c r="AI313" s="1280">
        <f t="shared" si="829"/>
        <v>0</v>
      </c>
      <c r="AJ313" s="1281">
        <f t="shared" si="829"/>
        <v>0</v>
      </c>
      <c r="AK313" s="1281">
        <f t="shared" si="829"/>
        <v>0</v>
      </c>
      <c r="AL313" s="1668" t="str">
        <f t="shared" si="830"/>
        <v>-</v>
      </c>
      <c r="AM313" s="1049"/>
      <c r="AN313" s="1050"/>
      <c r="AO313" s="1048"/>
      <c r="AP313" s="1699" t="str">
        <f t="shared" si="831"/>
        <v>-</v>
      </c>
      <c r="AQ313" s="1049"/>
      <c r="AR313" s="1050"/>
      <c r="AS313" s="1048"/>
      <c r="AT313" s="1699" t="str">
        <f t="shared" si="832"/>
        <v>-</v>
      </c>
      <c r="AU313" s="1049"/>
      <c r="AV313" s="1050"/>
      <c r="AW313" s="1048"/>
      <c r="AX313" s="1699" t="str">
        <f t="shared" si="833"/>
        <v>-</v>
      </c>
      <c r="AY313" s="442"/>
      <c r="AZ313" s="259"/>
      <c r="BA313" s="259"/>
      <c r="BB313" s="259"/>
    </row>
    <row r="314" spans="1:54" s="440" customFormat="1" ht="12.75" customHeight="1" thickBot="1">
      <c r="A314" s="479" t="s">
        <v>1157</v>
      </c>
      <c r="B314" s="1771"/>
      <c r="C314" s="1906" t="s">
        <v>1109</v>
      </c>
      <c r="D314" s="1907"/>
      <c r="E314" s="1907"/>
      <c r="F314" s="1908"/>
      <c r="G314" s="469">
        <f t="shared" ref="G314" si="835">SUM(G309:G313)</f>
        <v>73861</v>
      </c>
      <c r="H314" s="470">
        <f t="shared" ref="H314:I314" si="836">SUM(H309:H313)</f>
        <v>118258</v>
      </c>
      <c r="I314" s="470">
        <f t="shared" si="836"/>
        <v>118182</v>
      </c>
      <c r="J314" s="1635">
        <f t="shared" si="821"/>
        <v>0.99935733734715626</v>
      </c>
      <c r="K314" s="469">
        <f t="shared" ref="K314:AU314" si="837">SUM(K309:K313)</f>
        <v>73861</v>
      </c>
      <c r="L314" s="470">
        <f t="shared" ref="L314:M314" si="838">SUM(L309:L313)</f>
        <v>76103</v>
      </c>
      <c r="M314" s="470">
        <f t="shared" si="838"/>
        <v>76027</v>
      </c>
      <c r="N314" s="1635">
        <f t="shared" si="823"/>
        <v>0.99900135342890561</v>
      </c>
      <c r="O314" s="451">
        <f t="shared" si="837"/>
        <v>54370</v>
      </c>
      <c r="P314" s="321">
        <f t="shared" ref="P314" si="839">SUM(P309:P313)</f>
        <v>58638</v>
      </c>
      <c r="Q314" s="321">
        <f t="shared" ref="Q314" si="840">SUM(Q309:Q313)</f>
        <v>58588</v>
      </c>
      <c r="R314" s="1638">
        <f t="shared" si="824"/>
        <v>0.99914731061768813</v>
      </c>
      <c r="S314" s="451">
        <f t="shared" si="837"/>
        <v>10571</v>
      </c>
      <c r="T314" s="321">
        <f t="shared" ref="T314:U314" si="841">SUM(T309:T313)</f>
        <v>10844</v>
      </c>
      <c r="U314" s="321">
        <f t="shared" si="841"/>
        <v>10844</v>
      </c>
      <c r="V314" s="1638">
        <f t="shared" si="825"/>
        <v>1</v>
      </c>
      <c r="W314" s="451">
        <f t="shared" si="837"/>
        <v>8920</v>
      </c>
      <c r="X314" s="321">
        <f t="shared" ref="X314:Y314" si="842">SUM(X309:X313)</f>
        <v>6474</v>
      </c>
      <c r="Y314" s="321">
        <f t="shared" si="842"/>
        <v>6448</v>
      </c>
      <c r="Z314" s="1638">
        <f t="shared" si="826"/>
        <v>0.99598393574297184</v>
      </c>
      <c r="AA314" s="451">
        <f t="shared" si="837"/>
        <v>0</v>
      </c>
      <c r="AB314" s="321">
        <f t="shared" ref="AB314:AC314" si="843">SUM(AB309:AB313)</f>
        <v>0</v>
      </c>
      <c r="AC314" s="321">
        <f t="shared" si="843"/>
        <v>0</v>
      </c>
      <c r="AD314" s="1638" t="str">
        <f t="shared" si="827"/>
        <v>-</v>
      </c>
      <c r="AE314" s="451">
        <f t="shared" si="837"/>
        <v>0</v>
      </c>
      <c r="AF314" s="321">
        <f t="shared" ref="AF314:AG314" si="844">SUM(AF309:AF313)</f>
        <v>147</v>
      </c>
      <c r="AG314" s="321">
        <f t="shared" si="844"/>
        <v>147</v>
      </c>
      <c r="AH314" s="1638">
        <f t="shared" si="828"/>
        <v>1</v>
      </c>
      <c r="AI314" s="469">
        <f t="shared" si="837"/>
        <v>0</v>
      </c>
      <c r="AJ314" s="470">
        <f t="shared" ref="AJ314:AK314" si="845">SUM(AJ309:AJ313)</f>
        <v>42155</v>
      </c>
      <c r="AK314" s="470">
        <f t="shared" si="845"/>
        <v>42155</v>
      </c>
      <c r="AL314" s="1635">
        <f t="shared" si="830"/>
        <v>1</v>
      </c>
      <c r="AM314" s="451">
        <f t="shared" si="837"/>
        <v>0</v>
      </c>
      <c r="AN314" s="321">
        <f t="shared" ref="AN314:AO314" si="846">SUM(AN309:AN313)</f>
        <v>37646</v>
      </c>
      <c r="AO314" s="321">
        <f t="shared" si="846"/>
        <v>37646</v>
      </c>
      <c r="AP314" s="1638">
        <f t="shared" si="831"/>
        <v>1</v>
      </c>
      <c r="AQ314" s="451">
        <f t="shared" si="837"/>
        <v>0</v>
      </c>
      <c r="AR314" s="321">
        <f t="shared" ref="AR314:AS314" si="847">SUM(AR309:AR313)</f>
        <v>4509</v>
      </c>
      <c r="AS314" s="321">
        <f t="shared" si="847"/>
        <v>4509</v>
      </c>
      <c r="AT314" s="1638">
        <f t="shared" si="832"/>
        <v>1</v>
      </c>
      <c r="AU314" s="451">
        <f t="shared" si="837"/>
        <v>0</v>
      </c>
      <c r="AV314" s="321">
        <f t="shared" ref="AV314:AW314" si="848">SUM(AV309:AV313)</f>
        <v>0</v>
      </c>
      <c r="AW314" s="321">
        <f t="shared" si="848"/>
        <v>0</v>
      </c>
      <c r="AX314" s="1638" t="str">
        <f t="shared" si="833"/>
        <v>-</v>
      </c>
      <c r="AY314" s="443"/>
      <c r="AZ314" s="259"/>
      <c r="BA314" s="259"/>
      <c r="BB314" s="259"/>
    </row>
    <row r="315" spans="1:54" ht="12.75" customHeight="1" thickBot="1">
      <c r="A315" s="485">
        <f>A313+1</f>
        <v>120</v>
      </c>
      <c r="B315" s="1785">
        <v>33</v>
      </c>
      <c r="C315" s="834" t="s">
        <v>19</v>
      </c>
      <c r="D315" s="476" t="s">
        <v>19</v>
      </c>
      <c r="E315" s="829" t="s">
        <v>19</v>
      </c>
      <c r="F315" s="1075" t="s">
        <v>19</v>
      </c>
      <c r="G315" s="1286">
        <f>+K315+AI315</f>
        <v>0</v>
      </c>
      <c r="H315" s="1287">
        <f>+L315+AJ315</f>
        <v>0</v>
      </c>
      <c r="I315" s="1287">
        <f>+M315+AK315</f>
        <v>0</v>
      </c>
      <c r="J315" s="1695" t="str">
        <f t="shared" si="821"/>
        <v>-</v>
      </c>
      <c r="K315" s="1286">
        <f>+O315+S315+W315+AA315+AE315</f>
        <v>0</v>
      </c>
      <c r="L315" s="1287">
        <f>+P315+T315+X315+AB315+AF315</f>
        <v>0</v>
      </c>
      <c r="M315" s="1287">
        <f>+Q315+U315+Y315+AC315+AG315</f>
        <v>0</v>
      </c>
      <c r="N315" s="1695" t="str">
        <f t="shared" si="823"/>
        <v>-</v>
      </c>
      <c r="O315" s="448"/>
      <c r="P315" s="447"/>
      <c r="Q315" s="447"/>
      <c r="R315" s="1702" t="str">
        <f t="shared" si="824"/>
        <v>-</v>
      </c>
      <c r="S315" s="448"/>
      <c r="T315" s="447"/>
      <c r="U315" s="447"/>
      <c r="V315" s="1702" t="str">
        <f t="shared" si="825"/>
        <v>-</v>
      </c>
      <c r="W315" s="448"/>
      <c r="X315" s="447"/>
      <c r="Y315" s="447"/>
      <c r="Z315" s="1702" t="str">
        <f t="shared" si="826"/>
        <v>-</v>
      </c>
      <c r="AA315" s="448"/>
      <c r="AB315" s="447"/>
      <c r="AC315" s="447"/>
      <c r="AD315" s="1702" t="str">
        <f t="shared" si="827"/>
        <v>-</v>
      </c>
      <c r="AE315" s="448"/>
      <c r="AF315" s="447"/>
      <c r="AG315" s="447"/>
      <c r="AH315" s="1702" t="str">
        <f t="shared" si="828"/>
        <v>-</v>
      </c>
      <c r="AI315" s="1286">
        <f>+AM315+AQ315+AU315</f>
        <v>0</v>
      </c>
      <c r="AJ315" s="1287">
        <f>+AN315+AR315+AV315</f>
        <v>0</v>
      </c>
      <c r="AK315" s="1287">
        <f>+AO315+AS315+AW315</f>
        <v>0</v>
      </c>
      <c r="AL315" s="1695" t="str">
        <f t="shared" si="830"/>
        <v>-</v>
      </c>
      <c r="AM315" s="448"/>
      <c r="AN315" s="447"/>
      <c r="AO315" s="447"/>
      <c r="AP315" s="1702" t="str">
        <f t="shared" si="831"/>
        <v>-</v>
      </c>
      <c r="AQ315" s="448"/>
      <c r="AR315" s="447"/>
      <c r="AS315" s="447"/>
      <c r="AT315" s="1702" t="str">
        <f t="shared" si="832"/>
        <v>-</v>
      </c>
      <c r="AU315" s="448"/>
      <c r="AV315" s="447"/>
      <c r="AW315" s="447"/>
      <c r="AX315" s="1702" t="str">
        <f t="shared" si="833"/>
        <v>-</v>
      </c>
      <c r="AY315" s="442"/>
      <c r="AZ315" s="449"/>
      <c r="BA315" s="449"/>
      <c r="BB315" s="449"/>
    </row>
    <row r="316" spans="1:54" s="440" customFormat="1" ht="12.75" customHeight="1" thickBot="1">
      <c r="A316" s="479" t="s">
        <v>1158</v>
      </c>
      <c r="B316" s="1771"/>
      <c r="C316" s="1906" t="s">
        <v>1110</v>
      </c>
      <c r="D316" s="1907"/>
      <c r="E316" s="1907"/>
      <c r="F316" s="1908"/>
      <c r="G316" s="469">
        <f>SUM(G315)</f>
        <v>0</v>
      </c>
      <c r="H316" s="470">
        <f>SUM(H315)</f>
        <v>0</v>
      </c>
      <c r="I316" s="470">
        <f>SUM(I315)</f>
        <v>0</v>
      </c>
      <c r="J316" s="1635" t="str">
        <f t="shared" si="821"/>
        <v>-</v>
      </c>
      <c r="K316" s="469">
        <f t="shared" ref="K316" si="849">SUM(K315)</f>
        <v>0</v>
      </c>
      <c r="L316" s="470">
        <f t="shared" ref="L316:M316" si="850">SUM(L315)</f>
        <v>0</v>
      </c>
      <c r="M316" s="470">
        <f t="shared" si="850"/>
        <v>0</v>
      </c>
      <c r="N316" s="1635" t="str">
        <f t="shared" si="823"/>
        <v>-</v>
      </c>
      <c r="O316" s="451">
        <f t="shared" ref="O316:AU316" si="851">SUM(O315)</f>
        <v>0</v>
      </c>
      <c r="P316" s="321">
        <f t="shared" ref="P316:Q316" si="852">SUM(P315)</f>
        <v>0</v>
      </c>
      <c r="Q316" s="321">
        <f t="shared" si="852"/>
        <v>0</v>
      </c>
      <c r="R316" s="1638" t="str">
        <f t="shared" si="824"/>
        <v>-</v>
      </c>
      <c r="S316" s="451">
        <f t="shared" si="851"/>
        <v>0</v>
      </c>
      <c r="T316" s="321">
        <f t="shared" ref="T316:U316" si="853">SUM(T315)</f>
        <v>0</v>
      </c>
      <c r="U316" s="321">
        <f t="shared" si="853"/>
        <v>0</v>
      </c>
      <c r="V316" s="1638" t="str">
        <f t="shared" si="825"/>
        <v>-</v>
      </c>
      <c r="W316" s="451">
        <f t="shared" si="851"/>
        <v>0</v>
      </c>
      <c r="X316" s="321">
        <f t="shared" ref="X316:Y316" si="854">SUM(X315)</f>
        <v>0</v>
      </c>
      <c r="Y316" s="321">
        <f t="shared" si="854"/>
        <v>0</v>
      </c>
      <c r="Z316" s="1638" t="str">
        <f t="shared" si="826"/>
        <v>-</v>
      </c>
      <c r="AA316" s="451">
        <f t="shared" si="851"/>
        <v>0</v>
      </c>
      <c r="AB316" s="321">
        <f t="shared" ref="AB316:AC316" si="855">SUM(AB315)</f>
        <v>0</v>
      </c>
      <c r="AC316" s="321">
        <f t="shared" si="855"/>
        <v>0</v>
      </c>
      <c r="AD316" s="1638" t="str">
        <f t="shared" si="827"/>
        <v>-</v>
      </c>
      <c r="AE316" s="451">
        <f t="shared" si="851"/>
        <v>0</v>
      </c>
      <c r="AF316" s="321">
        <f t="shared" ref="AF316:AG316" si="856">SUM(AF315)</f>
        <v>0</v>
      </c>
      <c r="AG316" s="321">
        <f t="shared" si="856"/>
        <v>0</v>
      </c>
      <c r="AH316" s="1638" t="str">
        <f t="shared" si="828"/>
        <v>-</v>
      </c>
      <c r="AI316" s="469">
        <f t="shared" si="851"/>
        <v>0</v>
      </c>
      <c r="AJ316" s="470">
        <f t="shared" ref="AJ316:AK316" si="857">SUM(AJ315)</f>
        <v>0</v>
      </c>
      <c r="AK316" s="470">
        <f t="shared" si="857"/>
        <v>0</v>
      </c>
      <c r="AL316" s="1635" t="str">
        <f t="shared" si="830"/>
        <v>-</v>
      </c>
      <c r="AM316" s="451">
        <f t="shared" si="851"/>
        <v>0</v>
      </c>
      <c r="AN316" s="321">
        <f t="shared" ref="AN316:AO316" si="858">SUM(AN315)</f>
        <v>0</v>
      </c>
      <c r="AO316" s="321">
        <f t="shared" si="858"/>
        <v>0</v>
      </c>
      <c r="AP316" s="1638" t="str">
        <f t="shared" si="831"/>
        <v>-</v>
      </c>
      <c r="AQ316" s="451">
        <f t="shared" si="851"/>
        <v>0</v>
      </c>
      <c r="AR316" s="321">
        <f t="shared" ref="AR316:AS316" si="859">SUM(AR315)</f>
        <v>0</v>
      </c>
      <c r="AS316" s="321">
        <f t="shared" si="859"/>
        <v>0</v>
      </c>
      <c r="AT316" s="1638" t="str">
        <f t="shared" si="832"/>
        <v>-</v>
      </c>
      <c r="AU316" s="451">
        <f t="shared" si="851"/>
        <v>0</v>
      </c>
      <c r="AV316" s="321">
        <f t="shared" ref="AV316:AW316" si="860">SUM(AV315)</f>
        <v>0</v>
      </c>
      <c r="AW316" s="321">
        <f t="shared" si="860"/>
        <v>0</v>
      </c>
      <c r="AX316" s="1638" t="str">
        <f t="shared" si="833"/>
        <v>-</v>
      </c>
      <c r="AY316" s="443"/>
    </row>
    <row r="317" spans="1:54" ht="12.75" customHeight="1" thickBot="1">
      <c r="A317" s="485">
        <f>+A315+1</f>
        <v>121</v>
      </c>
      <c r="B317" s="1785">
        <v>34</v>
      </c>
      <c r="C317" s="834" t="s">
        <v>19</v>
      </c>
      <c r="D317" s="476" t="s">
        <v>19</v>
      </c>
      <c r="E317" s="829" t="s">
        <v>19</v>
      </c>
      <c r="F317" s="1075" t="s">
        <v>19</v>
      </c>
      <c r="G317" s="1286">
        <f>+K317+AI317</f>
        <v>0</v>
      </c>
      <c r="H317" s="1287">
        <f>+L317+AJ317</f>
        <v>0</v>
      </c>
      <c r="I317" s="1287">
        <f>+M317+AK317</f>
        <v>0</v>
      </c>
      <c r="J317" s="1695" t="str">
        <f t="shared" si="821"/>
        <v>-</v>
      </c>
      <c r="K317" s="1286">
        <f>+O317+S317+W317+AA317+AE317</f>
        <v>0</v>
      </c>
      <c r="L317" s="1287">
        <f>+P317+T317+X317+AB317+AF317</f>
        <v>0</v>
      </c>
      <c r="M317" s="1287">
        <f>+Q317+U317+Y317+AC317+AG317</f>
        <v>0</v>
      </c>
      <c r="N317" s="1695" t="str">
        <f t="shared" si="823"/>
        <v>-</v>
      </c>
      <c r="O317" s="448"/>
      <c r="P317" s="447"/>
      <c r="Q317" s="447"/>
      <c r="R317" s="1702" t="str">
        <f t="shared" si="824"/>
        <v>-</v>
      </c>
      <c r="S317" s="448"/>
      <c r="T317" s="447"/>
      <c r="U317" s="447"/>
      <c r="V317" s="1702" t="str">
        <f t="shared" si="825"/>
        <v>-</v>
      </c>
      <c r="W317" s="448"/>
      <c r="X317" s="447"/>
      <c r="Y317" s="447"/>
      <c r="Z317" s="1702" t="str">
        <f t="shared" si="826"/>
        <v>-</v>
      </c>
      <c r="AA317" s="448"/>
      <c r="AB317" s="447"/>
      <c r="AC317" s="447"/>
      <c r="AD317" s="1702" t="str">
        <f t="shared" si="827"/>
        <v>-</v>
      </c>
      <c r="AE317" s="448"/>
      <c r="AF317" s="447"/>
      <c r="AG317" s="447"/>
      <c r="AH317" s="1702" t="str">
        <f t="shared" si="828"/>
        <v>-</v>
      </c>
      <c r="AI317" s="1286">
        <f>+AM317+AQ317+AU317</f>
        <v>0</v>
      </c>
      <c r="AJ317" s="1287">
        <f>+AN317+AR317+AV317</f>
        <v>0</v>
      </c>
      <c r="AK317" s="1287">
        <f>+AO317+AS317+AW317</f>
        <v>0</v>
      </c>
      <c r="AL317" s="1695" t="str">
        <f t="shared" si="830"/>
        <v>-</v>
      </c>
      <c r="AM317" s="448"/>
      <c r="AN317" s="447"/>
      <c r="AO317" s="447"/>
      <c r="AP317" s="1702" t="str">
        <f t="shared" si="831"/>
        <v>-</v>
      </c>
      <c r="AQ317" s="448"/>
      <c r="AR317" s="447"/>
      <c r="AS317" s="447"/>
      <c r="AT317" s="1702" t="str">
        <f t="shared" si="832"/>
        <v>-</v>
      </c>
      <c r="AU317" s="448"/>
      <c r="AV317" s="447"/>
      <c r="AW317" s="447"/>
      <c r="AX317" s="1702" t="str">
        <f t="shared" si="833"/>
        <v>-</v>
      </c>
      <c r="AY317" s="442"/>
      <c r="AZ317" s="449"/>
      <c r="BA317" s="449"/>
      <c r="BB317" s="449"/>
    </row>
    <row r="318" spans="1:54" s="440" customFormat="1" ht="12.75" customHeight="1" thickBot="1">
      <c r="A318" s="479" t="s">
        <v>1159</v>
      </c>
      <c r="B318" s="1771"/>
      <c r="C318" s="1906" t="s">
        <v>1111</v>
      </c>
      <c r="D318" s="1907"/>
      <c r="E318" s="1907"/>
      <c r="F318" s="1908"/>
      <c r="G318" s="469">
        <f>SUM(G317)</f>
        <v>0</v>
      </c>
      <c r="H318" s="470">
        <f>SUM(H317)</f>
        <v>0</v>
      </c>
      <c r="I318" s="470">
        <f>SUM(I317)</f>
        <v>0</v>
      </c>
      <c r="J318" s="1635" t="str">
        <f t="shared" si="821"/>
        <v>-</v>
      </c>
      <c r="K318" s="469">
        <f t="shared" ref="K318" si="861">SUM(K317)</f>
        <v>0</v>
      </c>
      <c r="L318" s="470">
        <f t="shared" ref="L318:M318" si="862">SUM(L317)</f>
        <v>0</v>
      </c>
      <c r="M318" s="470">
        <f t="shared" si="862"/>
        <v>0</v>
      </c>
      <c r="N318" s="1635" t="str">
        <f t="shared" si="823"/>
        <v>-</v>
      </c>
      <c r="O318" s="451">
        <f t="shared" ref="O318:AU318" si="863">SUM(O317)</f>
        <v>0</v>
      </c>
      <c r="P318" s="321">
        <f t="shared" ref="P318:Q318" si="864">SUM(P317)</f>
        <v>0</v>
      </c>
      <c r="Q318" s="321">
        <f t="shared" si="864"/>
        <v>0</v>
      </c>
      <c r="R318" s="1638" t="str">
        <f t="shared" si="824"/>
        <v>-</v>
      </c>
      <c r="S318" s="451">
        <f t="shared" si="863"/>
        <v>0</v>
      </c>
      <c r="T318" s="321">
        <f t="shared" ref="T318:U318" si="865">SUM(T317)</f>
        <v>0</v>
      </c>
      <c r="U318" s="321">
        <f t="shared" si="865"/>
        <v>0</v>
      </c>
      <c r="V318" s="1638" t="str">
        <f t="shared" si="825"/>
        <v>-</v>
      </c>
      <c r="W318" s="451">
        <f t="shared" si="863"/>
        <v>0</v>
      </c>
      <c r="X318" s="321">
        <f t="shared" ref="X318:Y318" si="866">SUM(X317)</f>
        <v>0</v>
      </c>
      <c r="Y318" s="321">
        <f t="shared" si="866"/>
        <v>0</v>
      </c>
      <c r="Z318" s="1638" t="str">
        <f t="shared" si="826"/>
        <v>-</v>
      </c>
      <c r="AA318" s="451">
        <f t="shared" si="863"/>
        <v>0</v>
      </c>
      <c r="AB318" s="321">
        <f t="shared" ref="AB318:AC318" si="867">SUM(AB317)</f>
        <v>0</v>
      </c>
      <c r="AC318" s="321">
        <f t="shared" si="867"/>
        <v>0</v>
      </c>
      <c r="AD318" s="1638" t="str">
        <f t="shared" si="827"/>
        <v>-</v>
      </c>
      <c r="AE318" s="451">
        <f t="shared" si="863"/>
        <v>0</v>
      </c>
      <c r="AF318" s="321">
        <f t="shared" ref="AF318:AG318" si="868">SUM(AF317)</f>
        <v>0</v>
      </c>
      <c r="AG318" s="321">
        <f t="shared" si="868"/>
        <v>0</v>
      </c>
      <c r="AH318" s="1638" t="str">
        <f t="shared" si="828"/>
        <v>-</v>
      </c>
      <c r="AI318" s="469">
        <f t="shared" si="863"/>
        <v>0</v>
      </c>
      <c r="AJ318" s="470">
        <f t="shared" ref="AJ318:AK318" si="869">SUM(AJ317)</f>
        <v>0</v>
      </c>
      <c r="AK318" s="470">
        <f t="shared" si="869"/>
        <v>0</v>
      </c>
      <c r="AL318" s="1635" t="str">
        <f t="shared" si="830"/>
        <v>-</v>
      </c>
      <c r="AM318" s="451">
        <f t="shared" si="863"/>
        <v>0</v>
      </c>
      <c r="AN318" s="321">
        <f t="shared" ref="AN318:AO318" si="870">SUM(AN317)</f>
        <v>0</v>
      </c>
      <c r="AO318" s="321">
        <f t="shared" si="870"/>
        <v>0</v>
      </c>
      <c r="AP318" s="1638" t="str">
        <f t="shared" si="831"/>
        <v>-</v>
      </c>
      <c r="AQ318" s="451">
        <f t="shared" si="863"/>
        <v>0</v>
      </c>
      <c r="AR318" s="321">
        <f t="shared" ref="AR318:AS318" si="871">SUM(AR317)</f>
        <v>0</v>
      </c>
      <c r="AS318" s="321">
        <f t="shared" si="871"/>
        <v>0</v>
      </c>
      <c r="AT318" s="1638" t="str">
        <f t="shared" si="832"/>
        <v>-</v>
      </c>
      <c r="AU318" s="451">
        <f t="shared" si="863"/>
        <v>0</v>
      </c>
      <c r="AV318" s="321">
        <f t="shared" ref="AV318:AW318" si="872">SUM(AV317)</f>
        <v>0</v>
      </c>
      <c r="AW318" s="321">
        <f t="shared" si="872"/>
        <v>0</v>
      </c>
      <c r="AX318" s="1638" t="str">
        <f t="shared" si="833"/>
        <v>-</v>
      </c>
      <c r="AY318" s="443"/>
    </row>
    <row r="319" spans="1:54" s="449" customFormat="1" ht="12.75" customHeight="1" thickBot="1">
      <c r="A319" s="480" t="s">
        <v>42</v>
      </c>
      <c r="B319" s="1782"/>
      <c r="C319" s="1900" t="s">
        <v>1112</v>
      </c>
      <c r="D319" s="1901"/>
      <c r="E319" s="1901"/>
      <c r="F319" s="1902"/>
      <c r="G319" s="453">
        <f t="shared" ref="G319" si="873">+G314+G316+G318</f>
        <v>73861</v>
      </c>
      <c r="H319" s="454">
        <f t="shared" ref="H319:I319" si="874">+H314+H316+H318</f>
        <v>118258</v>
      </c>
      <c r="I319" s="454">
        <f t="shared" si="874"/>
        <v>118182</v>
      </c>
      <c r="J319" s="1692">
        <f t="shared" si="821"/>
        <v>0.99935733734715626</v>
      </c>
      <c r="K319" s="453">
        <f t="shared" ref="K319:AU319" si="875">+K314+K316+K318</f>
        <v>73861</v>
      </c>
      <c r="L319" s="454">
        <f t="shared" ref="L319:M319" si="876">+L314+L316+L318</f>
        <v>76103</v>
      </c>
      <c r="M319" s="454">
        <f t="shared" si="876"/>
        <v>76027</v>
      </c>
      <c r="N319" s="1692">
        <f t="shared" si="823"/>
        <v>0.99900135342890561</v>
      </c>
      <c r="O319" s="453">
        <f t="shared" si="875"/>
        <v>54370</v>
      </c>
      <c r="P319" s="454">
        <f t="shared" ref="P319:Q319" si="877">+P314+P316+P318</f>
        <v>58638</v>
      </c>
      <c r="Q319" s="464">
        <f t="shared" si="877"/>
        <v>58588</v>
      </c>
      <c r="R319" s="1696">
        <f t="shared" si="824"/>
        <v>0.99914731061768813</v>
      </c>
      <c r="S319" s="453">
        <f t="shared" si="875"/>
        <v>10571</v>
      </c>
      <c r="T319" s="454">
        <f t="shared" ref="T319:U319" si="878">+T314+T316+T318</f>
        <v>10844</v>
      </c>
      <c r="U319" s="464">
        <f t="shared" si="878"/>
        <v>10844</v>
      </c>
      <c r="V319" s="1696">
        <f t="shared" si="825"/>
        <v>1</v>
      </c>
      <c r="W319" s="453">
        <f t="shared" si="875"/>
        <v>8920</v>
      </c>
      <c r="X319" s="454">
        <f t="shared" ref="X319:Y319" si="879">+X314+X316+X318</f>
        <v>6474</v>
      </c>
      <c r="Y319" s="464">
        <f t="shared" si="879"/>
        <v>6448</v>
      </c>
      <c r="Z319" s="1696">
        <f t="shared" si="826"/>
        <v>0.99598393574297184</v>
      </c>
      <c r="AA319" s="453">
        <f t="shared" si="875"/>
        <v>0</v>
      </c>
      <c r="AB319" s="454">
        <f t="shared" ref="AB319:AC319" si="880">+AB314+AB316+AB318</f>
        <v>0</v>
      </c>
      <c r="AC319" s="464">
        <f t="shared" si="880"/>
        <v>0</v>
      </c>
      <c r="AD319" s="1696" t="str">
        <f t="shared" si="827"/>
        <v>-</v>
      </c>
      <c r="AE319" s="453">
        <f t="shared" si="875"/>
        <v>0</v>
      </c>
      <c r="AF319" s="454">
        <f t="shared" ref="AF319:AG319" si="881">+AF314+AF316+AF318</f>
        <v>147</v>
      </c>
      <c r="AG319" s="464">
        <f t="shared" si="881"/>
        <v>147</v>
      </c>
      <c r="AH319" s="1696">
        <f t="shared" si="828"/>
        <v>1</v>
      </c>
      <c r="AI319" s="453">
        <f t="shared" si="875"/>
        <v>0</v>
      </c>
      <c r="AJ319" s="454">
        <f t="shared" ref="AJ319:AK319" si="882">+AJ314+AJ316+AJ318</f>
        <v>42155</v>
      </c>
      <c r="AK319" s="454">
        <f t="shared" si="882"/>
        <v>42155</v>
      </c>
      <c r="AL319" s="1692">
        <f t="shared" si="830"/>
        <v>1</v>
      </c>
      <c r="AM319" s="453">
        <f t="shared" si="875"/>
        <v>0</v>
      </c>
      <c r="AN319" s="454">
        <f t="shared" ref="AN319:AO319" si="883">+AN314+AN316+AN318</f>
        <v>37646</v>
      </c>
      <c r="AO319" s="464">
        <f t="shared" si="883"/>
        <v>37646</v>
      </c>
      <c r="AP319" s="1696">
        <f t="shared" si="831"/>
        <v>1</v>
      </c>
      <c r="AQ319" s="453">
        <f t="shared" si="875"/>
        <v>0</v>
      </c>
      <c r="AR319" s="454">
        <f t="shared" ref="AR319:AS319" si="884">+AR314+AR316+AR318</f>
        <v>4509</v>
      </c>
      <c r="AS319" s="464">
        <f t="shared" si="884"/>
        <v>4509</v>
      </c>
      <c r="AT319" s="1696">
        <f t="shared" si="832"/>
        <v>1</v>
      </c>
      <c r="AU319" s="453">
        <f t="shared" si="875"/>
        <v>0</v>
      </c>
      <c r="AV319" s="454">
        <f t="shared" ref="AV319:AW319" si="885">+AV314+AV316+AV318</f>
        <v>0</v>
      </c>
      <c r="AW319" s="464">
        <f t="shared" si="885"/>
        <v>0</v>
      </c>
      <c r="AX319" s="1696" t="str">
        <f t="shared" si="833"/>
        <v>-</v>
      </c>
      <c r="AY319" s="723"/>
      <c r="AZ319" s="440"/>
      <c r="BA319" s="440"/>
      <c r="BB319" s="440"/>
    </row>
    <row r="320" spans="1:54" ht="12.75" thickBot="1">
      <c r="A320" s="485"/>
      <c r="B320" s="1785"/>
      <c r="C320" s="834"/>
      <c r="D320" s="476"/>
      <c r="E320" s="829"/>
      <c r="F320" s="465"/>
      <c r="G320" s="1286"/>
      <c r="H320" s="1287"/>
      <c r="I320" s="1287"/>
      <c r="J320" s="1695"/>
      <c r="K320" s="1286"/>
      <c r="L320" s="1287"/>
      <c r="M320" s="1287"/>
      <c r="N320" s="1695"/>
      <c r="O320" s="448"/>
      <c r="P320" s="447"/>
      <c r="Q320" s="447"/>
      <c r="R320" s="1702"/>
      <c r="S320" s="448"/>
      <c r="T320" s="447"/>
      <c r="U320" s="447"/>
      <c r="V320" s="1702"/>
      <c r="W320" s="448"/>
      <c r="X320" s="447"/>
      <c r="Y320" s="447"/>
      <c r="Z320" s="1702"/>
      <c r="AA320" s="448"/>
      <c r="AB320" s="447"/>
      <c r="AC320" s="447"/>
      <c r="AD320" s="1702"/>
      <c r="AE320" s="448"/>
      <c r="AF320" s="447"/>
      <c r="AG320" s="447"/>
      <c r="AH320" s="1702"/>
      <c r="AI320" s="1286"/>
      <c r="AJ320" s="1287"/>
      <c r="AK320" s="1287"/>
      <c r="AL320" s="1695"/>
      <c r="AM320" s="448"/>
      <c r="AN320" s="447"/>
      <c r="AO320" s="447"/>
      <c r="AP320" s="1702"/>
      <c r="AQ320" s="448"/>
      <c r="AR320" s="447"/>
      <c r="AS320" s="447"/>
      <c r="AT320" s="1702"/>
      <c r="AU320" s="448"/>
      <c r="AV320" s="447"/>
      <c r="AW320" s="447"/>
      <c r="AX320" s="1702"/>
      <c r="AY320" s="442"/>
      <c r="AZ320" s="440"/>
      <c r="BA320" s="440"/>
      <c r="BB320" s="440"/>
    </row>
    <row r="321" spans="1:51" s="440" customFormat="1" ht="12.75" customHeight="1" thickBot="1">
      <c r="A321" s="480" t="s">
        <v>41</v>
      </c>
      <c r="B321" s="1782"/>
      <c r="C321" s="1900" t="s">
        <v>897</v>
      </c>
      <c r="D321" s="1901"/>
      <c r="E321" s="1901"/>
      <c r="F321" s="1902"/>
      <c r="G321" s="466">
        <f>+G253+G273+G286+G298+G307+G319</f>
        <v>4596548</v>
      </c>
      <c r="H321" s="467">
        <f>+H253+H273+H286+H298+H307+H319</f>
        <v>6556294</v>
      </c>
      <c r="I321" s="467">
        <f>+I253+I273+I286+I298+I307+I319</f>
        <v>3032485</v>
      </c>
      <c r="J321" s="1696">
        <f t="shared" ref="J321" si="886">IF(ISERROR(I321/H321),"-",I321/H321)</f>
        <v>0.46253035632630263</v>
      </c>
      <c r="K321" s="466">
        <f t="shared" ref="K321" si="887">+K253+K273+K286+K298+K307+K319</f>
        <v>4110574</v>
      </c>
      <c r="L321" s="467">
        <f t="shared" ref="L321:M321" si="888">+L253+L273+L286+L298+L307+L319</f>
        <v>5205095</v>
      </c>
      <c r="M321" s="467">
        <f t="shared" si="888"/>
        <v>1963655</v>
      </c>
      <c r="N321" s="1696">
        <f t="shared" ref="N321" si="889">IF(ISERROR(M321/L321),"-",M321/L321)</f>
        <v>0.37725632289132088</v>
      </c>
      <c r="O321" s="466">
        <f t="shared" ref="O321:AU321" si="890">+O253+O273+O286+O298+O307+O319</f>
        <v>655870</v>
      </c>
      <c r="P321" s="467">
        <f t="shared" ref="P321:Q321" si="891">+P253+P273+P286+P298+P307+P319</f>
        <v>930589</v>
      </c>
      <c r="Q321" s="467">
        <f t="shared" si="891"/>
        <v>915906</v>
      </c>
      <c r="R321" s="1696">
        <f t="shared" ref="R321" si="892">IF(ISERROR(Q321/P321),"-",Q321/P321)</f>
        <v>0.98422182080381349</v>
      </c>
      <c r="S321" s="466">
        <f t="shared" si="890"/>
        <v>131505</v>
      </c>
      <c r="T321" s="467">
        <f t="shared" ref="T321:U321" si="893">+T253+T273+T286+T298+T307+T319</f>
        <v>178765</v>
      </c>
      <c r="U321" s="467">
        <f t="shared" si="893"/>
        <v>169543</v>
      </c>
      <c r="V321" s="1696">
        <f t="shared" ref="V321" si="894">IF(ISERROR(U321/T321),"-",U321/T321)</f>
        <v>0.9484127206108578</v>
      </c>
      <c r="W321" s="466">
        <f t="shared" si="890"/>
        <v>391454</v>
      </c>
      <c r="X321" s="467">
        <f t="shared" ref="X321:Y321" si="895">+X253+X273+X286+X298+X307+X319</f>
        <v>834328</v>
      </c>
      <c r="Y321" s="467">
        <f t="shared" si="895"/>
        <v>745686</v>
      </c>
      <c r="Z321" s="1696">
        <f t="shared" ref="Z321" si="896">IF(ISERROR(Y321/X321),"-",Y321/X321)</f>
        <v>0.89375641234622349</v>
      </c>
      <c r="AA321" s="466">
        <f t="shared" si="890"/>
        <v>57543</v>
      </c>
      <c r="AB321" s="467">
        <f t="shared" ref="AB321:AC321" si="897">+AB253+AB273+AB286+AB298+AB307+AB319</f>
        <v>43459</v>
      </c>
      <c r="AC321" s="467">
        <f t="shared" si="897"/>
        <v>43161</v>
      </c>
      <c r="AD321" s="1696">
        <f t="shared" ref="AD321" si="898">IF(ISERROR(AC321/AB321),"-",AC321/AB321)</f>
        <v>0.99314296233231325</v>
      </c>
      <c r="AE321" s="466">
        <f t="shared" si="890"/>
        <v>2874202</v>
      </c>
      <c r="AF321" s="467">
        <f t="shared" ref="AF321:AG321" si="899">+AF253+AF273+AF286+AF298+AF307+AF319</f>
        <v>3217954</v>
      </c>
      <c r="AG321" s="467">
        <f t="shared" si="899"/>
        <v>89359</v>
      </c>
      <c r="AH321" s="1696">
        <f t="shared" ref="AH321" si="900">IF(ISERROR(AG321/AF321),"-",AG321/AF321)</f>
        <v>2.7768886690114278E-2</v>
      </c>
      <c r="AI321" s="466">
        <f t="shared" si="890"/>
        <v>485974</v>
      </c>
      <c r="AJ321" s="467">
        <f t="shared" ref="AJ321:AK321" si="901">+AJ253+AJ273+AJ286+AJ298+AJ307+AJ319</f>
        <v>1351199</v>
      </c>
      <c r="AK321" s="467">
        <f t="shared" si="901"/>
        <v>1068830</v>
      </c>
      <c r="AL321" s="1696">
        <f t="shared" ref="AL321" si="902">IF(ISERROR(AK321/AJ321),"-",AK321/AJ321)</f>
        <v>0.79102337997585848</v>
      </c>
      <c r="AM321" s="466">
        <f t="shared" si="890"/>
        <v>466298</v>
      </c>
      <c r="AN321" s="467">
        <f t="shared" ref="AN321:AO321" si="903">+AN253+AN273+AN286+AN298+AN307+AN319</f>
        <v>931483</v>
      </c>
      <c r="AO321" s="467">
        <f t="shared" si="903"/>
        <v>816299</v>
      </c>
      <c r="AP321" s="1696">
        <f t="shared" ref="AP321" si="904">IF(ISERROR(AO321/AN321),"-",AO321/AN321)</f>
        <v>0.87634342226320827</v>
      </c>
      <c r="AQ321" s="466">
        <f t="shared" si="890"/>
        <v>19676</v>
      </c>
      <c r="AR321" s="467">
        <f t="shared" ref="AR321:AS321" si="905">+AR253+AR273+AR286+AR298+AR307+AR319</f>
        <v>419698</v>
      </c>
      <c r="AS321" s="467">
        <f t="shared" si="905"/>
        <v>252513</v>
      </c>
      <c r="AT321" s="1696">
        <f t="shared" ref="AT321" si="906">IF(ISERROR(AS321/AR321),"-",AS321/AR321)</f>
        <v>0.60165404648104115</v>
      </c>
      <c r="AU321" s="466">
        <f t="shared" si="890"/>
        <v>0</v>
      </c>
      <c r="AV321" s="467">
        <f t="shared" ref="AV321:AW321" si="907">+AV253+AV273+AV286+AV298+AV307+AV319</f>
        <v>18</v>
      </c>
      <c r="AW321" s="467">
        <f t="shared" si="907"/>
        <v>18</v>
      </c>
      <c r="AX321" s="1696">
        <f t="shared" ref="AX321" si="908">IF(ISERROR(AW321/AV321),"-",AW321/AV321)</f>
        <v>1</v>
      </c>
      <c r="AY321" s="730"/>
    </row>
    <row r="323" spans="1:51" hidden="1">
      <c r="A323" s="259"/>
      <c r="B323" s="259"/>
      <c r="C323" s="826"/>
      <c r="D323" s="259"/>
      <c r="G323" s="259"/>
      <c r="H323" s="259"/>
      <c r="I323" s="259"/>
      <c r="J323" s="1698"/>
      <c r="K323" s="259"/>
      <c r="L323" s="259"/>
      <c r="M323" s="259"/>
      <c r="N323" s="1698"/>
      <c r="O323" s="259">
        <f>+'1.mell._Össz_Mérleg2019'!C11</f>
        <v>962806</v>
      </c>
      <c r="P323" s="259">
        <f>+'1.mell._Össz_Mérleg2019'!D11</f>
        <v>1466167</v>
      </c>
      <c r="Q323" s="259">
        <f>+'1.mell._Össz_Mérleg2019'!E11</f>
        <v>1466167</v>
      </c>
      <c r="R323" s="259">
        <f>+'1.mell._Össz_Mérleg2019'!F11</f>
        <v>1</v>
      </c>
      <c r="S323" s="259">
        <f>+'1.mell._Össz_Mérleg2019'!C25</f>
        <v>384050</v>
      </c>
      <c r="T323" s="259">
        <f>+'1.mell._Össz_Mérleg2019'!D25</f>
        <v>541722</v>
      </c>
      <c r="U323" s="259">
        <f>+'1.mell._Össz_Mérleg2019'!E25</f>
        <v>394432</v>
      </c>
      <c r="V323" s="259">
        <f>+'1.mell._Össz_Mérleg2019'!F25</f>
        <v>0.72810777483653977</v>
      </c>
      <c r="W323" s="259">
        <f>+'1.mell._Össz_Mérleg2019'!C32</f>
        <v>132543</v>
      </c>
      <c r="X323" s="259">
        <f>+'1.mell._Össz_Mérleg2019'!D32</f>
        <v>161795</v>
      </c>
      <c r="Y323" s="259">
        <f>+'1.mell._Össz_Mérleg2019'!E32</f>
        <v>129585</v>
      </c>
      <c r="Z323" s="259">
        <f>+'1.mell._Össz_Mérleg2019'!F32</f>
        <v>0.80092091844618185</v>
      </c>
      <c r="AA323" s="259">
        <f>+'1.mell._Össz_Mérleg2019'!C44</f>
        <v>5800</v>
      </c>
      <c r="AB323" s="259">
        <f>+'1.mell._Össz_Mérleg2019'!D44</f>
        <v>54816</v>
      </c>
      <c r="AC323" s="259">
        <f>+'1.mell._Össz_Mérleg2019'!E44</f>
        <v>47805</v>
      </c>
      <c r="AD323" s="259">
        <f>+'1.mell._Össz_Mérleg2019'!F44</f>
        <v>0.87209938704028023</v>
      </c>
      <c r="AI323" s="259">
        <f>+'1.mell._Össz_Mérleg2019'!C51</f>
        <v>377399</v>
      </c>
      <c r="AJ323" s="259">
        <f>+'1.mell._Össz_Mérleg2019'!D51</f>
        <v>1215708</v>
      </c>
      <c r="AK323" s="259">
        <f>+'1.mell._Össz_Mérleg2019'!E51</f>
        <v>1215708</v>
      </c>
      <c r="AL323" s="259">
        <f>+'1.mell._Össz_Mérleg2019'!F51</f>
        <v>1</v>
      </c>
      <c r="AM323" s="259">
        <f>+'1.mell._Össz_Mérleg2019'!C58</f>
        <v>10350</v>
      </c>
      <c r="AN323" s="259">
        <f>+'1.mell._Össz_Mérleg2019'!D58</f>
        <v>4878</v>
      </c>
      <c r="AO323" s="259">
        <f>+'1.mell._Össz_Mérleg2019'!E58</f>
        <v>4022</v>
      </c>
      <c r="AP323" s="259">
        <f>+'1.mell._Össz_Mérleg2019'!F58</f>
        <v>0.82451824518245187</v>
      </c>
      <c r="AQ323" s="259">
        <f>+'1.mell._Össz_Mérleg2019'!C64</f>
        <v>1500</v>
      </c>
      <c r="AR323" s="259">
        <f>+'1.mell._Össz_Mérleg2019'!D64</f>
        <v>6552</v>
      </c>
      <c r="AS323" s="259">
        <f>+'1.mell._Össz_Mérleg2019'!E64</f>
        <v>838</v>
      </c>
      <c r="AT323" s="259">
        <f>+'1.mell._Össz_Mérleg2019'!F64</f>
        <v>0.12789987789987789</v>
      </c>
    </row>
    <row r="324" spans="1:51" hidden="1">
      <c r="A324" s="259"/>
      <c r="B324" s="259"/>
      <c r="C324" s="826"/>
      <c r="D324" s="259"/>
      <c r="G324" s="259"/>
      <c r="H324" s="259"/>
      <c r="I324" s="259"/>
      <c r="J324" s="1698"/>
      <c r="K324" s="259"/>
      <c r="L324" s="259"/>
      <c r="M324" s="259"/>
      <c r="N324" s="1698"/>
      <c r="O324" s="259">
        <f t="shared" ref="O324:AC324" si="909">+O159-O323</f>
        <v>0</v>
      </c>
      <c r="P324" s="259">
        <f t="shared" si="909"/>
        <v>0</v>
      </c>
      <c r="Q324" s="259">
        <f t="shared" si="909"/>
        <v>0</v>
      </c>
      <c r="R324" s="259">
        <f t="shared" ref="R324" si="910">+R159-R323</f>
        <v>0</v>
      </c>
      <c r="S324" s="259">
        <f t="shared" si="909"/>
        <v>0</v>
      </c>
      <c r="T324" s="259">
        <f t="shared" si="909"/>
        <v>0</v>
      </c>
      <c r="U324" s="259">
        <f t="shared" si="909"/>
        <v>0</v>
      </c>
      <c r="V324" s="259">
        <f t="shared" ref="V324" si="911">+V159-V323</f>
        <v>0</v>
      </c>
      <c r="W324" s="259">
        <f t="shared" si="909"/>
        <v>0</v>
      </c>
      <c r="X324" s="259">
        <f t="shared" si="909"/>
        <v>0</v>
      </c>
      <c r="Y324" s="259">
        <f t="shared" si="909"/>
        <v>0</v>
      </c>
      <c r="Z324" s="259">
        <f t="shared" ref="Z324" si="912">+Z159-Z323</f>
        <v>0</v>
      </c>
      <c r="AA324" s="259">
        <f t="shared" si="909"/>
        <v>0</v>
      </c>
      <c r="AB324" s="259">
        <f t="shared" si="909"/>
        <v>0</v>
      </c>
      <c r="AC324" s="259">
        <f t="shared" si="909"/>
        <v>0</v>
      </c>
      <c r="AD324" s="259">
        <f t="shared" ref="AD324" si="913">+AD159-AD323</f>
        <v>0</v>
      </c>
      <c r="AE324" s="259"/>
      <c r="AF324" s="259"/>
      <c r="AG324" s="259"/>
      <c r="AH324" s="1698"/>
      <c r="AI324" s="259">
        <f t="shared" ref="AI324:AS324" si="914">+AI159-AI323</f>
        <v>0</v>
      </c>
      <c r="AJ324" s="259">
        <f t="shared" si="914"/>
        <v>0</v>
      </c>
      <c r="AK324" s="259">
        <f t="shared" si="914"/>
        <v>0</v>
      </c>
      <c r="AL324" s="259">
        <f t="shared" ref="AL324" si="915">+AL159-AL323</f>
        <v>0</v>
      </c>
      <c r="AM324" s="259">
        <f t="shared" si="914"/>
        <v>0</v>
      </c>
      <c r="AN324" s="259">
        <f t="shared" si="914"/>
        <v>0</v>
      </c>
      <c r="AO324" s="259">
        <f t="shared" si="914"/>
        <v>0</v>
      </c>
      <c r="AP324" s="259">
        <f t="shared" ref="AP324" si="916">+AP159-AP323</f>
        <v>0</v>
      </c>
      <c r="AQ324" s="259">
        <f t="shared" si="914"/>
        <v>0</v>
      </c>
      <c r="AR324" s="259">
        <f t="shared" si="914"/>
        <v>0</v>
      </c>
      <c r="AS324" s="259">
        <f t="shared" si="914"/>
        <v>0</v>
      </c>
      <c r="AT324" s="259">
        <f t="shared" ref="AT324" si="917">+AT159-AT323</f>
        <v>0</v>
      </c>
    </row>
    <row r="325" spans="1:51" hidden="1">
      <c r="A325" s="259"/>
      <c r="B325" s="259"/>
      <c r="C325" s="826"/>
      <c r="D325" s="259"/>
      <c r="G325" s="259"/>
      <c r="H325" s="259"/>
      <c r="I325" s="259"/>
      <c r="J325" s="1698"/>
      <c r="K325" s="259"/>
      <c r="L325" s="259"/>
      <c r="M325" s="259"/>
      <c r="N325" s="1698"/>
      <c r="V325" s="259"/>
      <c r="Z325" s="259"/>
      <c r="AD325" s="259"/>
      <c r="AP325" s="259"/>
      <c r="AT325" s="259"/>
    </row>
    <row r="326" spans="1:51" hidden="1">
      <c r="A326" s="259"/>
      <c r="B326" s="259"/>
      <c r="C326" s="826"/>
      <c r="D326" s="259"/>
      <c r="G326" s="259"/>
      <c r="H326" s="259"/>
      <c r="I326" s="259"/>
      <c r="J326" s="1698"/>
      <c r="K326" s="259"/>
      <c r="L326" s="259"/>
      <c r="M326" s="259"/>
      <c r="N326" s="1698"/>
      <c r="O326" s="259">
        <f>+'1.mell._Össz_Mérleg2019'!C110</f>
        <v>655870</v>
      </c>
      <c r="P326" s="259">
        <f>+'1.mell._Össz_Mérleg2019'!D110</f>
        <v>930589</v>
      </c>
      <c r="Q326" s="259">
        <f>+'1.mell._Össz_Mérleg2019'!E110</f>
        <v>915906</v>
      </c>
      <c r="R326" s="259">
        <f>+'1.mell._Össz_Mérleg2019'!F110</f>
        <v>0.98422182080381349</v>
      </c>
      <c r="S326" s="259">
        <f>+'1.mell._Össz_Mérleg2019'!C114</f>
        <v>131505</v>
      </c>
      <c r="T326" s="259">
        <f>+'1.mell._Össz_Mérleg2019'!D114</f>
        <v>178765</v>
      </c>
      <c r="U326" s="259">
        <f>+'1.mell._Össz_Mérleg2019'!E114</f>
        <v>169543</v>
      </c>
      <c r="V326" s="259">
        <f>+'1.mell._Össz_Mérleg2019'!F114</f>
        <v>0.9484127206108578</v>
      </c>
      <c r="W326" s="259">
        <f>+'1.mell._Össz_Mérleg2019'!C116</f>
        <v>391454</v>
      </c>
      <c r="X326" s="259">
        <f>+'1.mell._Össz_Mérleg2019'!D116</f>
        <v>834328</v>
      </c>
      <c r="Y326" s="259">
        <f>+'1.mell._Össz_Mérleg2019'!E116</f>
        <v>745686</v>
      </c>
      <c r="Z326" s="259">
        <f>+'1.mell._Össz_Mérleg2019'!F116</f>
        <v>0.89375641234622349</v>
      </c>
      <c r="AA326" s="259">
        <f>+'1.mell._Össz_Mérleg2019'!C123</f>
        <v>57543</v>
      </c>
      <c r="AB326" s="259">
        <f>+'1.mell._Össz_Mérleg2019'!D123</f>
        <v>43459</v>
      </c>
      <c r="AC326" s="259">
        <f>+'1.mell._Össz_Mérleg2019'!E123</f>
        <v>43161</v>
      </c>
      <c r="AD326" s="259">
        <f>+'1.mell._Össz_Mérleg2019'!F123</f>
        <v>0.99314296233231325</v>
      </c>
      <c r="AE326" s="259">
        <f>+'1.mell._Össz_Mérleg2019'!C132</f>
        <v>2874202</v>
      </c>
      <c r="AF326" s="259">
        <f>+'1.mell._Össz_Mérleg2019'!D132</f>
        <v>3217954</v>
      </c>
      <c r="AG326" s="259">
        <f>+'1.mell._Össz_Mérleg2019'!E132</f>
        <v>89359</v>
      </c>
      <c r="AH326" s="259">
        <f>+'1.mell._Össz_Mérleg2019'!F132</f>
        <v>2.7768886690114278E-2</v>
      </c>
      <c r="AM326" s="259">
        <f>+'1.mell._Össz_Mérleg2019'!C150</f>
        <v>466298</v>
      </c>
      <c r="AN326" s="259">
        <f>+'1.mell._Össz_Mérleg2019'!D150</f>
        <v>931483</v>
      </c>
      <c r="AO326" s="259">
        <f>+'1.mell._Össz_Mérleg2019'!E150</f>
        <v>816299</v>
      </c>
      <c r="AP326" s="259">
        <f>+'1.mell._Össz_Mérleg2019'!F150</f>
        <v>0.87634342226320827</v>
      </c>
      <c r="AQ326" s="259">
        <f>+'1.mell._Össz_Mérleg2019'!C159</f>
        <v>19676</v>
      </c>
      <c r="AR326" s="259">
        <f>+'1.mell._Össz_Mérleg2019'!D159</f>
        <v>419698</v>
      </c>
      <c r="AS326" s="259">
        <f>+'1.mell._Össz_Mérleg2019'!E159</f>
        <v>252513</v>
      </c>
      <c r="AT326" s="259">
        <f>+'1.mell._Össz_Mérleg2019'!F159</f>
        <v>0.60165404648104115</v>
      </c>
      <c r="AU326" s="259">
        <f>+'1.mell._Össz_Mérleg2019'!C165</f>
        <v>0</v>
      </c>
      <c r="AV326" s="259">
        <f>+'1.mell._Össz_Mérleg2019'!D165</f>
        <v>18</v>
      </c>
      <c r="AW326" s="259">
        <f>+'1.mell._Össz_Mérleg2019'!E165</f>
        <v>18</v>
      </c>
      <c r="AX326" s="259">
        <f>+'1.mell._Össz_Mérleg2019'!F165</f>
        <v>1</v>
      </c>
    </row>
    <row r="327" spans="1:51" ht="11.25" hidden="1" customHeight="1">
      <c r="A327" s="259"/>
      <c r="B327" s="259"/>
      <c r="C327" s="826"/>
      <c r="D327" s="259"/>
      <c r="G327" s="259"/>
      <c r="H327" s="259"/>
      <c r="I327" s="259"/>
      <c r="J327" s="1698"/>
      <c r="K327" s="259"/>
      <c r="L327" s="259"/>
      <c r="M327" s="259"/>
      <c r="N327" s="1698"/>
      <c r="O327" s="259">
        <f t="shared" ref="O327:AG327" si="918">+O321-O326</f>
        <v>0</v>
      </c>
      <c r="P327" s="259">
        <f t="shared" si="918"/>
        <v>0</v>
      </c>
      <c r="Q327" s="259">
        <f t="shared" si="918"/>
        <v>0</v>
      </c>
      <c r="R327" s="259">
        <f t="shared" ref="R327" si="919">+R321-R326</f>
        <v>0</v>
      </c>
      <c r="S327" s="259">
        <f t="shared" si="918"/>
        <v>0</v>
      </c>
      <c r="T327" s="259">
        <f t="shared" si="918"/>
        <v>0</v>
      </c>
      <c r="U327" s="259">
        <f t="shared" si="918"/>
        <v>0</v>
      </c>
      <c r="V327" s="259">
        <f t="shared" ref="V327" si="920">+V321-V326</f>
        <v>0</v>
      </c>
      <c r="W327" s="259">
        <f t="shared" si="918"/>
        <v>0</v>
      </c>
      <c r="X327" s="259">
        <f t="shared" si="918"/>
        <v>0</v>
      </c>
      <c r="Y327" s="259">
        <f t="shared" si="918"/>
        <v>0</v>
      </c>
      <c r="Z327" s="259">
        <f t="shared" ref="Z327" si="921">+Z321-Z326</f>
        <v>0</v>
      </c>
      <c r="AA327" s="259">
        <f t="shared" si="918"/>
        <v>0</v>
      </c>
      <c r="AB327" s="259">
        <f t="shared" si="918"/>
        <v>0</v>
      </c>
      <c r="AC327" s="259">
        <f t="shared" si="918"/>
        <v>0</v>
      </c>
      <c r="AD327" s="259">
        <f t="shared" ref="AD327" si="922">+AD321-AD326</f>
        <v>0</v>
      </c>
      <c r="AE327" s="259">
        <f t="shared" si="918"/>
        <v>0</v>
      </c>
      <c r="AF327" s="259">
        <f t="shared" si="918"/>
        <v>0</v>
      </c>
      <c r="AG327" s="259">
        <f t="shared" si="918"/>
        <v>0</v>
      </c>
      <c r="AH327" s="259">
        <f t="shared" ref="AH327" si="923">+AH321-AH326</f>
        <v>0</v>
      </c>
      <c r="AM327" s="259">
        <f t="shared" ref="AM327:AW327" si="924">+AM321-AM326</f>
        <v>0</v>
      </c>
      <c r="AN327" s="259">
        <f t="shared" si="924"/>
        <v>0</v>
      </c>
      <c r="AO327" s="259">
        <f t="shared" si="924"/>
        <v>0</v>
      </c>
      <c r="AP327" s="259">
        <f t="shared" ref="AP327" si="925">+AP321-AP326</f>
        <v>0</v>
      </c>
      <c r="AQ327" s="259">
        <f t="shared" si="924"/>
        <v>0</v>
      </c>
      <c r="AR327" s="259">
        <f t="shared" si="924"/>
        <v>0</v>
      </c>
      <c r="AS327" s="259">
        <f t="shared" si="924"/>
        <v>0</v>
      </c>
      <c r="AT327" s="259">
        <f t="shared" ref="AT327" si="926">+AT321-AT326</f>
        <v>0</v>
      </c>
      <c r="AU327" s="259">
        <f t="shared" si="924"/>
        <v>0</v>
      </c>
      <c r="AV327" s="259">
        <f t="shared" si="924"/>
        <v>0</v>
      </c>
      <c r="AW327" s="259">
        <f t="shared" si="924"/>
        <v>0</v>
      </c>
      <c r="AX327" s="259">
        <f t="shared" ref="AX327" si="927">+AX321-AX326</f>
        <v>0</v>
      </c>
    </row>
  </sheetData>
  <mergeCells count="89">
    <mergeCell ref="AI5:AT5"/>
    <mergeCell ref="AA6:AD6"/>
    <mergeCell ref="AE5:AH6"/>
    <mergeCell ref="AI6:AL6"/>
    <mergeCell ref="O5:AD5"/>
    <mergeCell ref="G5:J6"/>
    <mergeCell ref="K5:N6"/>
    <mergeCell ref="O6:R6"/>
    <mergeCell ref="S6:V6"/>
    <mergeCell ref="W6:Z6"/>
    <mergeCell ref="AM168:AP168"/>
    <mergeCell ref="AQ168:AT168"/>
    <mergeCell ref="AU168:AX168"/>
    <mergeCell ref="AI167:AL168"/>
    <mergeCell ref="AM6:AP6"/>
    <mergeCell ref="AQ6:AT6"/>
    <mergeCell ref="C307:F307"/>
    <mergeCell ref="C295:F295"/>
    <mergeCell ref="A5:A7"/>
    <mergeCell ref="F5:F7"/>
    <mergeCell ref="E5:E7"/>
    <mergeCell ref="C253:F253"/>
    <mergeCell ref="C98:F98"/>
    <mergeCell ref="C145:F145"/>
    <mergeCell ref="C102:F102"/>
    <mergeCell ref="C91:F91"/>
    <mergeCell ref="C110:F110"/>
    <mergeCell ref="C131:F131"/>
    <mergeCell ref="C133:F133"/>
    <mergeCell ref="C135:F135"/>
    <mergeCell ref="C144:F144"/>
    <mergeCell ref="C142:F142"/>
    <mergeCell ref="C124:F124"/>
    <mergeCell ref="C5:C7"/>
    <mergeCell ref="D5:D7"/>
    <mergeCell ref="C157:F157"/>
    <mergeCell ref="C152:F152"/>
    <mergeCell ref="C154:F154"/>
    <mergeCell ref="C156:F156"/>
    <mergeCell ref="C136:F136"/>
    <mergeCell ref="C139:F139"/>
    <mergeCell ref="A3:AX3"/>
    <mergeCell ref="C167:C169"/>
    <mergeCell ref="D167:D169"/>
    <mergeCell ref="C81:F81"/>
    <mergeCell ref="C88:F88"/>
    <mergeCell ref="C90:F90"/>
    <mergeCell ref="F167:F169"/>
    <mergeCell ref="C111:F111"/>
    <mergeCell ref="C119:F119"/>
    <mergeCell ref="C121:F121"/>
    <mergeCell ref="C159:F159"/>
    <mergeCell ref="B5:B7"/>
    <mergeCell ref="B167:B169"/>
    <mergeCell ref="K167:N168"/>
    <mergeCell ref="G167:J168"/>
    <mergeCell ref="C123:F123"/>
    <mergeCell ref="C321:F321"/>
    <mergeCell ref="C273:F273"/>
    <mergeCell ref="C281:F281"/>
    <mergeCell ref="C283:F283"/>
    <mergeCell ref="C285:F285"/>
    <mergeCell ref="C286:F286"/>
    <mergeCell ref="C318:F318"/>
    <mergeCell ref="C319:F319"/>
    <mergeCell ref="C316:F316"/>
    <mergeCell ref="C297:F297"/>
    <mergeCell ref="C298:F298"/>
    <mergeCell ref="C293:F293"/>
    <mergeCell ref="C314:F314"/>
    <mergeCell ref="C301:F301"/>
    <mergeCell ref="C304:F304"/>
    <mergeCell ref="C306:F306"/>
    <mergeCell ref="C272:F272"/>
    <mergeCell ref="A165:AX165"/>
    <mergeCell ref="A167:A169"/>
    <mergeCell ref="E167:E169"/>
    <mergeCell ref="C243:F243"/>
    <mergeCell ref="C250:F250"/>
    <mergeCell ref="C252:F252"/>
    <mergeCell ref="C260:F260"/>
    <mergeCell ref="C264:F264"/>
    <mergeCell ref="AM167:AX167"/>
    <mergeCell ref="O167:AH167"/>
    <mergeCell ref="O168:R168"/>
    <mergeCell ref="S168:V168"/>
    <mergeCell ref="W168:Z168"/>
    <mergeCell ref="AA168:AD168"/>
    <mergeCell ref="AE168:AH168"/>
  </mergeCells>
  <printOptions horizontalCentered="1"/>
  <pageMargins left="0.39370078740157483" right="0.39370078740157483" top="0.39370078740157483" bottom="0.39370078740157483" header="0.19685039370078741" footer="0.19685039370078741"/>
  <pageSetup paperSize="8" scale="35" fitToHeight="2" orientation="landscape" r:id="rId1"/>
  <headerFooter alignWithMargins="0">
    <oddHeader xml:space="preserve">&amp;C&amp;"Times New Roman CE,Félkövér"&amp;14 13. melléklet - &amp;P. oldal
&amp;R&amp;"Times New Roman CE,Dőlt"&amp;12
</oddHeader>
  </headerFooter>
  <rowBreaks count="1" manualBreakCount="1">
    <brk id="163" max="16383" man="1"/>
  </rowBreaks>
  <colBreaks count="1" manualBreakCount="1">
    <brk id="34" max="320" man="1"/>
  </colBreaks>
</worksheet>
</file>

<file path=xl/worksheets/sheet22.xml><?xml version="1.0" encoding="utf-8"?>
<worksheet xmlns="http://schemas.openxmlformats.org/spreadsheetml/2006/main" xmlns:r="http://schemas.openxmlformats.org/officeDocument/2006/relationships">
  <sheetPr codeName="Munka27">
    <tabColor rgb="FF00B0F0"/>
  </sheetPr>
  <dimension ref="A1:CT285"/>
  <sheetViews>
    <sheetView zoomScaleNormal="100" workbookViewId="0"/>
  </sheetViews>
  <sheetFormatPr defaultColWidth="13" defaultRowHeight="12"/>
  <cols>
    <col min="1" max="1" width="5" style="487" customWidth="1"/>
    <col min="2" max="2" width="74.140625" style="226" bestFit="1" customWidth="1"/>
    <col min="3" max="23" width="11.5703125" style="226" customWidth="1"/>
    <col min="24" max="24" width="13.140625" style="226" hidden="1" customWidth="1"/>
    <col min="25" max="27" width="11.5703125" style="226" hidden="1" customWidth="1"/>
    <col min="28" max="31" width="11.5703125" style="486" hidden="1" customWidth="1"/>
    <col min="32" max="35" width="11.5703125" style="226" hidden="1" customWidth="1"/>
    <col min="36" max="63" width="11.5703125" style="226" customWidth="1"/>
    <col min="64" max="67" width="11.5703125" style="486" customWidth="1"/>
    <col min="68" max="75" width="11.5703125" style="226" customWidth="1"/>
    <col min="76" max="79" width="11.5703125" style="486" customWidth="1"/>
    <col min="80" max="80" width="6.28515625" style="226" bestFit="1" customWidth="1"/>
    <col min="81" max="82" width="9.28515625" style="226" hidden="1" customWidth="1"/>
    <col min="83" max="83" width="3.42578125" style="226" customWidth="1"/>
    <col min="84" max="84" width="13" style="226"/>
    <col min="85" max="85" width="10.28515625" style="226" bestFit="1" customWidth="1"/>
    <col min="86" max="86" width="9.28515625" style="226" customWidth="1"/>
    <col min="87" max="16384" width="13" style="226"/>
  </cols>
  <sheetData>
    <row r="1" spans="1:98" s="595" customFormat="1" ht="15.75">
      <c r="A1" s="594"/>
      <c r="V1" s="153" t="s">
        <v>600</v>
      </c>
      <c r="AB1" s="596"/>
      <c r="AC1" s="596"/>
      <c r="AD1" s="596"/>
      <c r="AE1" s="596"/>
      <c r="BL1" s="596"/>
      <c r="BM1" s="596"/>
      <c r="BN1" s="596"/>
      <c r="BO1" s="596"/>
      <c r="BX1" s="153"/>
      <c r="BY1" s="153"/>
      <c r="BZ1" s="153"/>
      <c r="CA1" s="153"/>
    </row>
    <row r="2" spans="1:98" s="595" customFormat="1" ht="15.75">
      <c r="A2" s="594"/>
      <c r="AB2" s="596"/>
      <c r="AC2" s="596"/>
      <c r="AD2" s="596"/>
      <c r="AE2" s="596"/>
      <c r="BL2" s="596"/>
      <c r="BM2" s="596"/>
      <c r="BN2" s="596"/>
      <c r="BO2" s="596"/>
      <c r="BX2" s="153"/>
      <c r="BY2" s="153"/>
      <c r="BZ2" s="153"/>
      <c r="CA2" s="153"/>
    </row>
    <row r="3" spans="1:98" s="596" customFormat="1" ht="15.75">
      <c r="A3" s="1925" t="s">
        <v>835</v>
      </c>
      <c r="B3" s="1925"/>
      <c r="C3" s="1925"/>
      <c r="D3" s="1925"/>
      <c r="E3" s="1925"/>
      <c r="F3" s="1925"/>
      <c r="G3" s="1925"/>
      <c r="H3" s="1925"/>
      <c r="I3" s="1925"/>
      <c r="J3" s="1925"/>
      <c r="K3" s="1925"/>
      <c r="L3" s="1925"/>
      <c r="M3" s="1925"/>
      <c r="N3" s="1925"/>
      <c r="O3" s="1925"/>
      <c r="P3" s="1925"/>
      <c r="Q3" s="1925"/>
      <c r="R3" s="1925"/>
      <c r="S3" s="1925"/>
      <c r="T3" s="1925"/>
      <c r="U3" s="1925"/>
      <c r="V3" s="1925"/>
      <c r="W3" s="1292"/>
      <c r="X3" s="1292"/>
      <c r="Y3" s="1292"/>
      <c r="Z3" s="1292"/>
      <c r="AA3" s="1292"/>
      <c r="AB3" s="1292"/>
      <c r="AC3" s="1292"/>
      <c r="AD3" s="1292"/>
      <c r="AE3" s="1292"/>
      <c r="AF3" s="1292"/>
      <c r="AG3" s="1292"/>
      <c r="AH3" s="1292"/>
      <c r="AI3" s="1292"/>
      <c r="AJ3" s="1292"/>
      <c r="AK3" s="1292"/>
      <c r="AL3" s="1292"/>
      <c r="AM3" s="1292"/>
      <c r="AN3" s="1292"/>
      <c r="AO3" s="1292"/>
      <c r="AP3" s="1292"/>
      <c r="AQ3" s="1292"/>
      <c r="AR3" s="1292"/>
      <c r="AS3" s="1292"/>
      <c r="AT3" s="1292"/>
      <c r="AU3" s="1292"/>
      <c r="AV3" s="1292"/>
      <c r="AW3" s="1292"/>
      <c r="AX3" s="1292"/>
      <c r="AY3" s="1292"/>
      <c r="AZ3" s="1292"/>
      <c r="BA3" s="1292"/>
      <c r="BB3" s="1292"/>
      <c r="BC3" s="1292"/>
      <c r="BD3" s="1292"/>
      <c r="BE3" s="1292"/>
      <c r="BF3" s="1292"/>
      <c r="BG3" s="1292"/>
      <c r="BH3" s="1292"/>
      <c r="BI3" s="1292"/>
      <c r="BJ3" s="1292"/>
      <c r="BK3" s="1292"/>
      <c r="BL3" s="1292"/>
      <c r="BM3" s="1292"/>
      <c r="BN3" s="1292"/>
      <c r="BO3" s="1292"/>
      <c r="BP3" s="1292"/>
      <c r="BQ3" s="1292"/>
      <c r="BR3" s="1292"/>
      <c r="BS3" s="1292"/>
      <c r="BT3" s="1292"/>
      <c r="BU3" s="1292"/>
      <c r="BV3" s="1292"/>
      <c r="BW3" s="1292"/>
      <c r="BX3" s="1292"/>
      <c r="BY3" s="1292"/>
      <c r="BZ3" s="1292"/>
      <c r="CA3" s="1292"/>
      <c r="CF3" s="595"/>
      <c r="CG3" s="595"/>
      <c r="CH3" s="595"/>
      <c r="CI3" s="595"/>
      <c r="CJ3" s="595"/>
      <c r="CK3" s="595"/>
      <c r="CL3" s="595"/>
      <c r="CM3" s="595"/>
      <c r="CN3" s="595"/>
      <c r="CO3" s="595"/>
      <c r="CP3" s="595"/>
      <c r="CQ3" s="595"/>
      <c r="CR3" s="595"/>
      <c r="CS3" s="595"/>
      <c r="CT3" s="595"/>
    </row>
    <row r="4" spans="1:98" ht="12.75" thickBot="1">
      <c r="V4" s="203" t="s">
        <v>458</v>
      </c>
      <c r="BX4" s="203"/>
      <c r="BY4" s="203"/>
      <c r="BZ4" s="203"/>
      <c r="CA4" s="203"/>
    </row>
    <row r="5" spans="1:98" s="489" customFormat="1" ht="72.75" thickBot="1">
      <c r="A5" s="786" t="s">
        <v>17</v>
      </c>
      <c r="B5" s="787" t="s">
        <v>1563</v>
      </c>
      <c r="C5" s="788" t="s">
        <v>769</v>
      </c>
      <c r="D5" s="320" t="s">
        <v>526</v>
      </c>
      <c r="E5" s="320" t="s">
        <v>770</v>
      </c>
      <c r="F5" s="320" t="s">
        <v>1164</v>
      </c>
      <c r="G5" s="320" t="s">
        <v>533</v>
      </c>
      <c r="H5" s="320" t="s">
        <v>534</v>
      </c>
      <c r="I5" s="319" t="s">
        <v>1165</v>
      </c>
      <c r="J5" s="260" t="s">
        <v>525</v>
      </c>
      <c r="K5" s="788" t="s">
        <v>46</v>
      </c>
      <c r="L5" s="320" t="s">
        <v>447</v>
      </c>
      <c r="M5" s="320" t="s">
        <v>448</v>
      </c>
      <c r="N5" s="320" t="s">
        <v>772</v>
      </c>
      <c r="O5" s="320" t="s">
        <v>1166</v>
      </c>
      <c r="P5" s="320" t="s">
        <v>451</v>
      </c>
      <c r="Q5" s="320" t="s">
        <v>452</v>
      </c>
      <c r="R5" s="255" t="s">
        <v>1167</v>
      </c>
      <c r="S5" s="260" t="s">
        <v>528</v>
      </c>
      <c r="T5" s="789" t="s">
        <v>762</v>
      </c>
      <c r="U5" s="1078" t="s">
        <v>1255</v>
      </c>
      <c r="V5" s="488" t="s">
        <v>763</v>
      </c>
      <c r="AA5" s="489" t="s">
        <v>1077</v>
      </c>
      <c r="AB5" s="489" t="s">
        <v>1052</v>
      </c>
      <c r="AC5" s="489" t="s">
        <v>1253</v>
      </c>
      <c r="AD5" s="489" t="s">
        <v>1172</v>
      </c>
      <c r="AE5" s="489" t="s">
        <v>1171</v>
      </c>
      <c r="AF5" s="489" t="s">
        <v>1170</v>
      </c>
      <c r="AG5" s="489" t="s">
        <v>1174</v>
      </c>
      <c r="AH5" s="489" t="s">
        <v>1175</v>
      </c>
      <c r="AI5" s="489" t="s">
        <v>1254</v>
      </c>
    </row>
    <row r="6" spans="1:98">
      <c r="A6" s="734">
        <v>1</v>
      </c>
      <c r="B6" s="668" t="s">
        <v>415</v>
      </c>
      <c r="C6" s="491">
        <f>+SUMIF('13.mell_ÖNKfeladatok2019'!$B$5:$B$159,'14.mell_Önk kiegészítés2019'!$A6,'13.mell_ÖNKfeladatok2019'!O$5:O$159)</f>
        <v>0</v>
      </c>
      <c r="D6" s="491">
        <f>+SUMIF('13.mell_ÖNKfeladatok2019'!$B$5:$B$159,'14.mell_Önk kiegészítés2019'!$A6,'13.mell_ÖNKfeladatok2019'!S$5:S$159)</f>
        <v>0</v>
      </c>
      <c r="E6" s="491">
        <f>+SUMIF('13.mell_ÖNKfeladatok2019'!$B$5:$B$159,'14.mell_Önk kiegészítés2019'!$A6,'13.mell_ÖNKfeladatok2019'!W$5:W$159)</f>
        <v>0</v>
      </c>
      <c r="F6" s="491">
        <f>+SUMIF('13.mell_ÖNKfeladatok2019'!$B$5:$B$159,'14.mell_Önk kiegészítés2019'!$A6,'13.mell_ÖNKfeladatok2019'!AA$5:AA$159)</f>
        <v>0</v>
      </c>
      <c r="G6" s="491">
        <f>+SUMIF('13.mell_ÖNKfeladatok2019'!$B$5:$B$159,'14.mell_Önk kiegészítés2019'!$A6,'13.mell_ÖNKfeladatok2019'!AI$5:AI$159)</f>
        <v>0</v>
      </c>
      <c r="H6" s="491">
        <f>+SUMIF('13.mell_ÖNKfeladatok2019'!$B$5:$B$159,'14.mell_Önk kiegészítés2019'!$A6,'13.mell_ÖNKfeladatok2019'!AM$5:AM$159)</f>
        <v>0</v>
      </c>
      <c r="I6" s="491">
        <f>+SUMIF('13.mell_ÖNKfeladatok2019'!$B$5:$B$159,'14.mell_Önk kiegészítés2019'!$A6,'13.mell_ÖNKfeladatok2019'!AQ$5:AQ$159)</f>
        <v>0</v>
      </c>
      <c r="J6" s="669">
        <f t="shared" ref="J6:J13" si="0">SUM(C6:I6)</f>
        <v>0</v>
      </c>
      <c r="K6" s="491">
        <f>+SUMIF('13.mell_ÖNKfeladatok2019'!$B$167:$B$321,'14.mell_Önk kiegészítés2019'!$A6,'13.mell_ÖNKfeladatok2019'!O$167:O$321)</f>
        <v>33550</v>
      </c>
      <c r="L6" s="491">
        <f>+SUMIF('13.mell_ÖNKfeladatok2019'!$B$167:$B$321,'14.mell_Önk kiegészítés2019'!$A6,'13.mell_ÖNKfeladatok2019'!S$167:S$321)</f>
        <v>6302</v>
      </c>
      <c r="M6" s="491">
        <f>+SUMIF('13.mell_ÖNKfeladatok2019'!$B$167:$B$321,'14.mell_Önk kiegészítés2019'!$A6,'13.mell_ÖNKfeladatok2019'!W$167:W$321)</f>
        <v>191</v>
      </c>
      <c r="N6" s="491">
        <f>+SUMIF('13.mell_ÖNKfeladatok2019'!$B$167:$B$321,'14.mell_Önk kiegészítés2019'!$A6,'13.mell_ÖNKfeladatok2019'!AA$167:AA$321)</f>
        <v>0</v>
      </c>
      <c r="O6" s="491">
        <f>+SUMIF('13.mell_ÖNKfeladatok2019'!$B$167:$B$321,'14.mell_Önk kiegészítés2019'!$A6,'13.mell_ÖNKfeladatok2019'!AE$167:AE$321)</f>
        <v>0</v>
      </c>
      <c r="P6" s="491">
        <f>+SUMIF('13.mell_ÖNKfeladatok2019'!$B$167:$B$321,'14.mell_Önk kiegészítés2019'!$A6,'13.mell_ÖNKfeladatok2019'!AM$167:AM$321)</f>
        <v>0</v>
      </c>
      <c r="Q6" s="491">
        <f>+SUMIF('13.mell_ÖNKfeladatok2019'!$B$167:$B$321,'14.mell_Önk kiegészítés2019'!$A6,'13.mell_ÖNKfeladatok2019'!AQ$167:AQ$321)</f>
        <v>0</v>
      </c>
      <c r="R6" s="491">
        <f>+SUMIF('13.mell_ÖNKfeladatok2019'!$B$167:$B$321,'14.mell_Önk kiegészítés2019'!$A6,'13.mell_ÖNKfeladatok2019'!AU$167:AU$321)</f>
        <v>0</v>
      </c>
      <c r="S6" s="669">
        <f t="shared" ref="S6:S13" si="1">SUM(K6:R6)</f>
        <v>40043</v>
      </c>
      <c r="T6" s="670">
        <f t="shared" ref="T6:T13" si="2">S6-J6</f>
        <v>40043</v>
      </c>
      <c r="U6" s="491">
        <f>+ROUND(SUMIF('10.mell_támogatások2019'!$B$6:$B$137,'14.mell_Önk kiegészítés2019'!$A6,'10.mell_támogatások2019'!D$6:D$137)/1000,0)</f>
        <v>1961</v>
      </c>
      <c r="V6" s="671">
        <f t="shared" ref="V6:V13" si="3">+T6-U6</f>
        <v>38082</v>
      </c>
      <c r="W6" s="486"/>
      <c r="AB6" s="226"/>
      <c r="AC6" s="226"/>
      <c r="AD6" s="226"/>
      <c r="AE6" s="226"/>
      <c r="BL6" s="226"/>
      <c r="BM6" s="226"/>
      <c r="BN6" s="226"/>
      <c r="BO6" s="226"/>
      <c r="BX6" s="226"/>
      <c r="BY6" s="226"/>
      <c r="BZ6" s="226"/>
      <c r="CA6" s="226"/>
    </row>
    <row r="7" spans="1:98">
      <c r="A7" s="735">
        <f>+A6+1</f>
        <v>2</v>
      </c>
      <c r="B7" s="490" t="s">
        <v>658</v>
      </c>
      <c r="C7" s="491">
        <f>+SUMIF('13.mell_ÖNKfeladatok2019'!$B$5:$B$159,'14.mell_Önk kiegészítés2019'!$A7,'13.mell_ÖNKfeladatok2019'!O$5:O$159)</f>
        <v>0</v>
      </c>
      <c r="D7" s="491">
        <f>+SUMIF('13.mell_ÖNKfeladatok2019'!$B$5:$B$159,'14.mell_Önk kiegészítés2019'!$A7,'13.mell_ÖNKfeladatok2019'!S$5:S$159)</f>
        <v>0</v>
      </c>
      <c r="E7" s="491">
        <f>+SUMIF('13.mell_ÖNKfeladatok2019'!$B$5:$B$159,'14.mell_Önk kiegészítés2019'!$A7,'13.mell_ÖNKfeladatok2019'!W$5:W$159)</f>
        <v>1500</v>
      </c>
      <c r="F7" s="491">
        <f>+SUMIF('13.mell_ÖNKfeladatok2019'!$B$5:$B$159,'14.mell_Önk kiegészítés2019'!$A7,'13.mell_ÖNKfeladatok2019'!AA$5:AA$159)</f>
        <v>0</v>
      </c>
      <c r="G7" s="491">
        <f>+SUMIF('13.mell_ÖNKfeladatok2019'!$B$5:$B$159,'14.mell_Önk kiegészítés2019'!$A7,'13.mell_ÖNKfeladatok2019'!AI$5:AI$159)</f>
        <v>0</v>
      </c>
      <c r="H7" s="491">
        <f>+SUMIF('13.mell_ÖNKfeladatok2019'!$B$5:$B$159,'14.mell_Önk kiegészítés2019'!$A7,'13.mell_ÖNKfeladatok2019'!AM$5:AM$159)</f>
        <v>0</v>
      </c>
      <c r="I7" s="491">
        <f>+SUMIF('13.mell_ÖNKfeladatok2019'!$B$5:$B$159,'14.mell_Önk kiegészítés2019'!$A7,'13.mell_ÖNKfeladatok2019'!AQ$5:AQ$159)</f>
        <v>0</v>
      </c>
      <c r="J7" s="533">
        <f t="shared" si="0"/>
        <v>1500</v>
      </c>
      <c r="K7" s="491">
        <f>+SUMIF('13.mell_ÖNKfeladatok2019'!$B$167:$B$321,'14.mell_Önk kiegészítés2019'!$A7,'13.mell_ÖNKfeladatok2019'!O$167:O$321)</f>
        <v>0</v>
      </c>
      <c r="L7" s="491">
        <f>+SUMIF('13.mell_ÖNKfeladatok2019'!$B$167:$B$321,'14.mell_Önk kiegészítés2019'!$A7,'13.mell_ÖNKfeladatok2019'!S$167:S$321)</f>
        <v>0</v>
      </c>
      <c r="M7" s="491">
        <f>+SUMIF('13.mell_ÖNKfeladatok2019'!$B$167:$B$321,'14.mell_Önk kiegészítés2019'!$A7,'13.mell_ÖNKfeladatok2019'!W$167:W$321)</f>
        <v>7000</v>
      </c>
      <c r="N7" s="491">
        <f>+SUMIF('13.mell_ÖNKfeladatok2019'!$B$167:$B$321,'14.mell_Önk kiegészítés2019'!$A7,'13.mell_ÖNKfeladatok2019'!AA$167:AA$321)</f>
        <v>0</v>
      </c>
      <c r="O7" s="491">
        <f>+SUMIF('13.mell_ÖNKfeladatok2019'!$B$167:$B$321,'14.mell_Önk kiegészítés2019'!$A7,'13.mell_ÖNKfeladatok2019'!AE$167:AE$321)</f>
        <v>0</v>
      </c>
      <c r="P7" s="491">
        <f>+SUMIF('13.mell_ÖNKfeladatok2019'!$B$167:$B$321,'14.mell_Önk kiegészítés2019'!$A7,'13.mell_ÖNKfeladatok2019'!AM$167:AM$321)</f>
        <v>0</v>
      </c>
      <c r="Q7" s="491">
        <f>+SUMIF('13.mell_ÖNKfeladatok2019'!$B$167:$B$321,'14.mell_Önk kiegészítés2019'!$A7,'13.mell_ÖNKfeladatok2019'!AQ$167:AQ$321)</f>
        <v>0</v>
      </c>
      <c r="R7" s="491">
        <f>+SUMIF('13.mell_ÖNKfeladatok2019'!$B$167:$B$321,'14.mell_Önk kiegészítés2019'!$A7,'13.mell_ÖNKfeladatok2019'!AU$167:AU$321)</f>
        <v>0</v>
      </c>
      <c r="S7" s="533">
        <f t="shared" si="1"/>
        <v>7000</v>
      </c>
      <c r="T7" s="492">
        <f t="shared" si="2"/>
        <v>5500</v>
      </c>
      <c r="U7" s="1079">
        <f>+ROUND(SUMIF('10.mell_támogatások2019'!$B$6:$B$137,'14.mell_Önk kiegészítés2019'!$A7,'10.mell_támogatások2019'!D$6:D$137)/1000,0)</f>
        <v>3460</v>
      </c>
      <c r="V7" s="493">
        <f t="shared" si="3"/>
        <v>2040</v>
      </c>
      <c r="W7" s="486"/>
      <c r="AB7" s="226"/>
      <c r="AC7" s="226"/>
      <c r="AD7" s="226"/>
      <c r="AE7" s="226"/>
      <c r="BL7" s="226"/>
      <c r="BM7" s="226"/>
      <c r="BN7" s="226"/>
      <c r="BO7" s="226"/>
      <c r="BX7" s="226"/>
      <c r="BY7" s="226"/>
      <c r="BZ7" s="226"/>
      <c r="CA7" s="226"/>
    </row>
    <row r="8" spans="1:98">
      <c r="A8" s="735">
        <f>+A7+1</f>
        <v>3</v>
      </c>
      <c r="B8" s="494" t="s">
        <v>653</v>
      </c>
      <c r="C8" s="495">
        <f>+SUMIF('13.mell_ÖNKfeladatok2019'!$B$5:$B$159,'14.mell_Önk kiegészítés2019'!$A8,'13.mell_ÖNKfeladatok2019'!O$5:O$159)</f>
        <v>0</v>
      </c>
      <c r="D8" s="495">
        <f>+SUMIF('13.mell_ÖNKfeladatok2019'!$B$5:$B$159,'14.mell_Önk kiegészítés2019'!$A8,'13.mell_ÖNKfeladatok2019'!S$5:S$159)</f>
        <v>0</v>
      </c>
      <c r="E8" s="495">
        <f>+SUMIF('13.mell_ÖNKfeladatok2019'!$B$5:$B$159,'14.mell_Önk kiegészítés2019'!$A8,'13.mell_ÖNKfeladatok2019'!W$5:W$159)</f>
        <v>0</v>
      </c>
      <c r="F8" s="495">
        <f>+SUMIF('13.mell_ÖNKfeladatok2019'!$B$5:$B$159,'14.mell_Önk kiegészítés2019'!$A8,'13.mell_ÖNKfeladatok2019'!AA$5:AA$159)</f>
        <v>0</v>
      </c>
      <c r="G8" s="491">
        <f>+SUMIF('13.mell_ÖNKfeladatok2019'!$B$5:$B$159,'14.mell_Önk kiegészítés2019'!$A8,'13.mell_ÖNKfeladatok2019'!AI$5:AI$159)</f>
        <v>0</v>
      </c>
      <c r="H8" s="495">
        <f>+SUMIF('13.mell_ÖNKfeladatok2019'!$B$5:$B$159,'14.mell_Önk kiegészítés2019'!$A8,'13.mell_ÖNKfeladatok2019'!AM$5:AM$159)</f>
        <v>0</v>
      </c>
      <c r="I8" s="495">
        <f>+SUMIF('13.mell_ÖNKfeladatok2019'!$B$5:$B$159,'14.mell_Önk kiegészítés2019'!$A8,'13.mell_ÖNKfeladatok2019'!AQ$5:AQ$159)</f>
        <v>0</v>
      </c>
      <c r="J8" s="534">
        <f t="shared" si="0"/>
        <v>0</v>
      </c>
      <c r="K8" s="495">
        <f>+SUMIF('13.mell_ÖNKfeladatok2019'!$B$167:$B$321,'14.mell_Önk kiegészítés2019'!$A8,'13.mell_ÖNKfeladatok2019'!O$167:O$321)</f>
        <v>0</v>
      </c>
      <c r="L8" s="495">
        <f>+SUMIF('13.mell_ÖNKfeladatok2019'!$B$167:$B$321,'14.mell_Önk kiegészítés2019'!$A8,'13.mell_ÖNKfeladatok2019'!S$167:S$321)</f>
        <v>0</v>
      </c>
      <c r="M8" s="495">
        <f>+SUMIF('13.mell_ÖNKfeladatok2019'!$B$167:$B$321,'14.mell_Önk kiegészítés2019'!$A8,'13.mell_ÖNKfeladatok2019'!W$167:W$321)</f>
        <v>25000</v>
      </c>
      <c r="N8" s="495">
        <f>+SUMIF('13.mell_ÖNKfeladatok2019'!$B$167:$B$321,'14.mell_Önk kiegészítés2019'!$A8,'13.mell_ÖNKfeladatok2019'!AA$167:AA$321)</f>
        <v>0</v>
      </c>
      <c r="O8" s="495">
        <f>+SUMIF('13.mell_ÖNKfeladatok2019'!$B$167:$B$321,'14.mell_Önk kiegészítés2019'!$A8,'13.mell_ÖNKfeladatok2019'!AE$167:AE$321)</f>
        <v>0</v>
      </c>
      <c r="P8" s="495">
        <f>+SUMIF('13.mell_ÖNKfeladatok2019'!$B$167:$B$321,'14.mell_Önk kiegészítés2019'!$A8,'13.mell_ÖNKfeladatok2019'!AM$167:AM$321)</f>
        <v>2000</v>
      </c>
      <c r="Q8" s="495">
        <f>+SUMIF('13.mell_ÖNKfeladatok2019'!$B$167:$B$321,'14.mell_Önk kiegészítés2019'!$A8,'13.mell_ÖNKfeladatok2019'!AQ$167:AQ$321)</f>
        <v>0</v>
      </c>
      <c r="R8" s="495">
        <f>+SUMIF('13.mell_ÖNKfeladatok2019'!$B$167:$B$321,'14.mell_Önk kiegészítés2019'!$A8,'13.mell_ÖNKfeladatok2019'!AU$167:AU$321)</f>
        <v>0</v>
      </c>
      <c r="S8" s="534">
        <f t="shared" si="1"/>
        <v>27000</v>
      </c>
      <c r="T8" s="496">
        <f t="shared" si="2"/>
        <v>27000</v>
      </c>
      <c r="U8" s="1079">
        <f>+ROUND(SUMIF('10.mell_támogatások2019'!$B$6:$B$137,'14.mell_Önk kiegészítés2019'!$A8,'10.mell_támogatások2019'!D$6:D$137)/1000,0)</f>
        <v>26600</v>
      </c>
      <c r="V8" s="497">
        <f t="shared" si="3"/>
        <v>400</v>
      </c>
      <c r="W8" s="486"/>
      <c r="AB8" s="226"/>
      <c r="AC8" s="226"/>
      <c r="AD8" s="226"/>
      <c r="AE8" s="226"/>
      <c r="BL8" s="226"/>
      <c r="BM8" s="226"/>
      <c r="BN8" s="226"/>
      <c r="BO8" s="226"/>
      <c r="BX8" s="226"/>
      <c r="BY8" s="226"/>
      <c r="BZ8" s="226"/>
      <c r="CA8" s="226"/>
    </row>
    <row r="9" spans="1:98">
      <c r="A9" s="735">
        <f>+A8+1</f>
        <v>4</v>
      </c>
      <c r="B9" s="494" t="s">
        <v>655</v>
      </c>
      <c r="C9" s="495">
        <f>+SUMIF('13.mell_ÖNKfeladatok2019'!$B$5:$B$159,'14.mell_Önk kiegészítés2019'!$A9,'13.mell_ÖNKfeladatok2019'!O$5:O$159)</f>
        <v>0</v>
      </c>
      <c r="D9" s="495">
        <f>+SUMIF('13.mell_ÖNKfeladatok2019'!$B$5:$B$159,'14.mell_Önk kiegészítés2019'!$A9,'13.mell_ÖNKfeladatok2019'!S$5:S$159)</f>
        <v>0</v>
      </c>
      <c r="E9" s="495">
        <f>+SUMIF('13.mell_ÖNKfeladatok2019'!$B$5:$B$159,'14.mell_Önk kiegészítés2019'!$A9,'13.mell_ÖNKfeladatok2019'!W$5:W$159)</f>
        <v>0</v>
      </c>
      <c r="F9" s="495">
        <f>+SUMIF('13.mell_ÖNKfeladatok2019'!$B$5:$B$159,'14.mell_Önk kiegészítés2019'!$A9,'13.mell_ÖNKfeladatok2019'!AA$5:AA$159)</f>
        <v>0</v>
      </c>
      <c r="G9" s="491">
        <f>+SUMIF('13.mell_ÖNKfeladatok2019'!$B$5:$B$159,'14.mell_Önk kiegészítés2019'!$A9,'13.mell_ÖNKfeladatok2019'!AI$5:AI$159)</f>
        <v>0</v>
      </c>
      <c r="H9" s="495">
        <f>+SUMIF('13.mell_ÖNKfeladatok2019'!$B$5:$B$159,'14.mell_Önk kiegészítés2019'!$A9,'13.mell_ÖNKfeladatok2019'!AM$5:AM$159)</f>
        <v>0</v>
      </c>
      <c r="I9" s="495">
        <f>+SUMIF('13.mell_ÖNKfeladatok2019'!$B$5:$B$159,'14.mell_Önk kiegészítés2019'!$A9,'13.mell_ÖNKfeladatok2019'!AQ$5:AQ$159)</f>
        <v>0</v>
      </c>
      <c r="J9" s="534">
        <f t="shared" si="0"/>
        <v>0</v>
      </c>
      <c r="K9" s="495">
        <f>+SUMIF('13.mell_ÖNKfeladatok2019'!$B$167:$B$321,'14.mell_Önk kiegészítés2019'!$A9,'13.mell_ÖNKfeladatok2019'!O$167:O$321)</f>
        <v>0</v>
      </c>
      <c r="L9" s="495">
        <f>+SUMIF('13.mell_ÖNKfeladatok2019'!$B$167:$B$321,'14.mell_Önk kiegészítés2019'!$A9,'13.mell_ÖNKfeladatok2019'!S$167:S$321)</f>
        <v>0</v>
      </c>
      <c r="M9" s="495">
        <f>+SUMIF('13.mell_ÖNKfeladatok2019'!$B$167:$B$321,'14.mell_Önk kiegészítés2019'!$A9,'13.mell_ÖNKfeladatok2019'!W$167:W$321)</f>
        <v>10792</v>
      </c>
      <c r="N9" s="495">
        <f>+SUMIF('13.mell_ÖNKfeladatok2019'!$B$167:$B$321,'14.mell_Önk kiegészítés2019'!$A9,'13.mell_ÖNKfeladatok2019'!AA$167:AA$321)</f>
        <v>0</v>
      </c>
      <c r="O9" s="495">
        <f>+SUMIF('13.mell_ÖNKfeladatok2019'!$B$167:$B$321,'14.mell_Önk kiegészítés2019'!$A9,'13.mell_ÖNKfeladatok2019'!AE$167:AE$321)</f>
        <v>0</v>
      </c>
      <c r="P9" s="495">
        <f>+SUMIF('13.mell_ÖNKfeladatok2019'!$B$167:$B$321,'14.mell_Önk kiegészítés2019'!$A9,'13.mell_ÖNKfeladatok2019'!AM$167:AM$321)</f>
        <v>0</v>
      </c>
      <c r="Q9" s="495">
        <f>+SUMIF('13.mell_ÖNKfeladatok2019'!$B$167:$B$321,'14.mell_Önk kiegészítés2019'!$A9,'13.mell_ÖNKfeladatok2019'!AQ$167:AQ$321)</f>
        <v>0</v>
      </c>
      <c r="R9" s="495">
        <f>+SUMIF('13.mell_ÖNKfeladatok2019'!$B$167:$B$321,'14.mell_Önk kiegészítés2019'!$A9,'13.mell_ÖNKfeladatok2019'!AU$167:AU$321)</f>
        <v>0</v>
      </c>
      <c r="S9" s="534">
        <f t="shared" si="1"/>
        <v>10792</v>
      </c>
      <c r="T9" s="496">
        <f t="shared" si="2"/>
        <v>10792</v>
      </c>
      <c r="U9" s="1079">
        <f>+ROUND(SUMIF('10.mell_támogatások2019'!$B$6:$B$137,'14.mell_Önk kiegészítés2019'!$A9,'10.mell_támogatások2019'!D$6:D$137)/1000,0)</f>
        <v>13509</v>
      </c>
      <c r="V9" s="497">
        <f t="shared" si="3"/>
        <v>-2717</v>
      </c>
      <c r="W9" s="486"/>
      <c r="AB9" s="226"/>
      <c r="AC9" s="226"/>
      <c r="AD9" s="226"/>
      <c r="AE9" s="226"/>
      <c r="BL9" s="226"/>
      <c r="BM9" s="226"/>
      <c r="BN9" s="226"/>
      <c r="BO9" s="226"/>
      <c r="BX9" s="226"/>
      <c r="BY9" s="226"/>
      <c r="BZ9" s="226"/>
      <c r="CA9" s="226"/>
    </row>
    <row r="10" spans="1:98">
      <c r="A10" s="735">
        <f>+A9+1</f>
        <v>5</v>
      </c>
      <c r="B10" s="494" t="s">
        <v>652</v>
      </c>
      <c r="C10" s="495">
        <f>+SUMIF('13.mell_ÖNKfeladatok2019'!$B$5:$B$159,'14.mell_Önk kiegészítés2019'!$A10,'13.mell_ÖNKfeladatok2019'!O$5:O$159)</f>
        <v>0</v>
      </c>
      <c r="D10" s="495">
        <f>+SUMIF('13.mell_ÖNKfeladatok2019'!$B$5:$B$159,'14.mell_Önk kiegészítés2019'!$A10,'13.mell_ÖNKfeladatok2019'!S$5:S$159)</f>
        <v>0</v>
      </c>
      <c r="E10" s="495">
        <f>+SUMIF('13.mell_ÖNKfeladatok2019'!$B$5:$B$159,'14.mell_Önk kiegészítés2019'!$A10,'13.mell_ÖNKfeladatok2019'!W$5:W$159)</f>
        <v>0</v>
      </c>
      <c r="F10" s="495">
        <f>+SUMIF('13.mell_ÖNKfeladatok2019'!$B$5:$B$159,'14.mell_Önk kiegészítés2019'!$A10,'13.mell_ÖNKfeladatok2019'!AA$5:AA$159)</f>
        <v>0</v>
      </c>
      <c r="G10" s="491">
        <f>+SUMIF('13.mell_ÖNKfeladatok2019'!$B$5:$B$159,'14.mell_Önk kiegészítés2019'!$A10,'13.mell_ÖNKfeladatok2019'!AI$5:AI$159)</f>
        <v>0</v>
      </c>
      <c r="H10" s="495">
        <f>+SUMIF('13.mell_ÖNKfeladatok2019'!$B$5:$B$159,'14.mell_Önk kiegészítés2019'!$A10,'13.mell_ÖNKfeladatok2019'!AM$5:AM$159)</f>
        <v>0</v>
      </c>
      <c r="I10" s="495">
        <f>+SUMIF('13.mell_ÖNKfeladatok2019'!$B$5:$B$159,'14.mell_Önk kiegészítés2019'!$A10,'13.mell_ÖNKfeladatok2019'!AQ$5:AQ$159)</f>
        <v>0</v>
      </c>
      <c r="J10" s="534">
        <f t="shared" si="0"/>
        <v>0</v>
      </c>
      <c r="K10" s="495">
        <f>+SUMIF('13.mell_ÖNKfeladatok2019'!$B$167:$B$321,'14.mell_Önk kiegészítés2019'!$A10,'13.mell_ÖNKfeladatok2019'!O$167:O$321)</f>
        <v>0</v>
      </c>
      <c r="L10" s="495">
        <f>+SUMIF('13.mell_ÖNKfeladatok2019'!$B$167:$B$321,'14.mell_Önk kiegészítés2019'!$A10,'13.mell_ÖNKfeladatok2019'!S$167:S$321)</f>
        <v>0</v>
      </c>
      <c r="M10" s="495">
        <f>+SUMIF('13.mell_ÖNKfeladatok2019'!$B$167:$B$321,'14.mell_Önk kiegészítés2019'!$A10,'13.mell_ÖNKfeladatok2019'!W$167:W$321)</f>
        <v>18200</v>
      </c>
      <c r="N10" s="495">
        <f>+SUMIF('13.mell_ÖNKfeladatok2019'!$B$167:$B$321,'14.mell_Önk kiegészítés2019'!$A10,'13.mell_ÖNKfeladatok2019'!AA$167:AA$321)</f>
        <v>0</v>
      </c>
      <c r="O10" s="495">
        <f>+SUMIF('13.mell_ÖNKfeladatok2019'!$B$167:$B$321,'14.mell_Önk kiegészítés2019'!$A10,'13.mell_ÖNKfeladatok2019'!AE$167:AE$321)</f>
        <v>0</v>
      </c>
      <c r="P10" s="495">
        <f>+SUMIF('13.mell_ÖNKfeladatok2019'!$B$167:$B$321,'14.mell_Önk kiegészítés2019'!$A10,'13.mell_ÖNKfeladatok2019'!AM$167:AM$321)</f>
        <v>500</v>
      </c>
      <c r="Q10" s="495">
        <f>+SUMIF('13.mell_ÖNKfeladatok2019'!$B$167:$B$321,'14.mell_Önk kiegészítés2019'!$A10,'13.mell_ÖNKfeladatok2019'!AQ$167:AQ$321)</f>
        <v>11000</v>
      </c>
      <c r="R10" s="495">
        <f>+SUMIF('13.mell_ÖNKfeladatok2019'!$B$167:$B$321,'14.mell_Önk kiegészítés2019'!$A10,'13.mell_ÖNKfeladatok2019'!AU$167:AU$321)</f>
        <v>0</v>
      </c>
      <c r="S10" s="534">
        <f t="shared" si="1"/>
        <v>29700</v>
      </c>
      <c r="T10" s="496">
        <f t="shared" si="2"/>
        <v>29700</v>
      </c>
      <c r="U10" s="1079">
        <f>+ROUND(SUMIF('10.mell_támogatások2019'!$B$6:$B$137,'14.mell_Önk kiegészítés2019'!$A10,'10.mell_támogatások2019'!D$6:D$137)/1000,0)</f>
        <v>14918</v>
      </c>
      <c r="V10" s="497">
        <f t="shared" si="3"/>
        <v>14782</v>
      </c>
      <c r="W10" s="486"/>
      <c r="AB10" s="226"/>
      <c r="AC10" s="226"/>
      <c r="AD10" s="226"/>
      <c r="AE10" s="226"/>
      <c r="BL10" s="226"/>
      <c r="BM10" s="226"/>
      <c r="BN10" s="226"/>
      <c r="BO10" s="226"/>
      <c r="BX10" s="226"/>
      <c r="BY10" s="226"/>
      <c r="BZ10" s="226"/>
      <c r="CA10" s="226"/>
    </row>
    <row r="11" spans="1:98">
      <c r="A11" s="735">
        <f>+A10+1</f>
        <v>6</v>
      </c>
      <c r="B11" s="494" t="s">
        <v>1160</v>
      </c>
      <c r="C11" s="495">
        <f>+SUMIF('13.mell_ÖNKfeladatok2019'!$B$5:$B$159,'14.mell_Önk kiegészítés2019'!$A11,'13.mell_ÖNKfeladatok2019'!O$5:O$159)</f>
        <v>28786</v>
      </c>
      <c r="D11" s="495">
        <f>+SUMIF('13.mell_ÖNKfeladatok2019'!$B$5:$B$159,'14.mell_Önk kiegészítés2019'!$A11,'13.mell_ÖNKfeladatok2019'!S$5:S$159)</f>
        <v>0</v>
      </c>
      <c r="E11" s="495">
        <f>+SUMIF('13.mell_ÖNKfeladatok2019'!$B$5:$B$159,'14.mell_Önk kiegészítés2019'!$A11,'13.mell_ÖNKfeladatok2019'!W$5:W$159)</f>
        <v>0</v>
      </c>
      <c r="F11" s="495">
        <f>+SUMIF('13.mell_ÖNKfeladatok2019'!$B$5:$B$159,'14.mell_Önk kiegészítés2019'!$A11,'13.mell_ÖNKfeladatok2019'!AA$5:AA$159)</f>
        <v>0</v>
      </c>
      <c r="G11" s="491">
        <f>+SUMIF('13.mell_ÖNKfeladatok2019'!$B$5:$B$159,'14.mell_Önk kiegészítés2019'!$A11,'13.mell_ÖNKfeladatok2019'!AI$5:AI$159)</f>
        <v>0</v>
      </c>
      <c r="H11" s="495">
        <f>+SUMIF('13.mell_ÖNKfeladatok2019'!$B$5:$B$159,'14.mell_Önk kiegészítés2019'!$A11,'13.mell_ÖNKfeladatok2019'!AM$5:AM$159)</f>
        <v>0</v>
      </c>
      <c r="I11" s="495">
        <f>+SUMIF('13.mell_ÖNKfeladatok2019'!$B$5:$B$159,'14.mell_Önk kiegészítés2019'!$A11,'13.mell_ÖNKfeladatok2019'!AQ$5:AQ$159)</f>
        <v>0</v>
      </c>
      <c r="J11" s="534">
        <f t="shared" si="0"/>
        <v>28786</v>
      </c>
      <c r="K11" s="495">
        <f>+SUMIF('13.mell_ÖNKfeladatok2019'!$B$167:$B$321,'14.mell_Önk kiegészítés2019'!$A11,'13.mell_ÖNKfeladatok2019'!O$167:O$321)</f>
        <v>26229</v>
      </c>
      <c r="L11" s="495">
        <f>+SUMIF('13.mell_ÖNKfeladatok2019'!$B$167:$B$321,'14.mell_Önk kiegészítés2019'!$A11,'13.mell_ÖNKfeladatok2019'!S$167:S$321)</f>
        <v>2557</v>
      </c>
      <c r="M11" s="495">
        <f>+SUMIF('13.mell_ÖNKfeladatok2019'!$B$167:$B$321,'14.mell_Önk kiegészítés2019'!$A11,'13.mell_ÖNKfeladatok2019'!W$167:W$321)</f>
        <v>15000</v>
      </c>
      <c r="N11" s="495">
        <f>+SUMIF('13.mell_ÖNKfeladatok2019'!$B$167:$B$321,'14.mell_Önk kiegészítés2019'!$A11,'13.mell_ÖNKfeladatok2019'!AA$167:AA$321)</f>
        <v>52505</v>
      </c>
      <c r="O11" s="495">
        <f>+SUMIF('13.mell_ÖNKfeladatok2019'!$B$167:$B$321,'14.mell_Önk kiegészítés2019'!$A11,'13.mell_ÖNKfeladatok2019'!AE$167:AE$321)</f>
        <v>0</v>
      </c>
      <c r="P11" s="495">
        <f>+SUMIF('13.mell_ÖNKfeladatok2019'!$B$167:$B$321,'14.mell_Önk kiegészítés2019'!$A11,'13.mell_ÖNKfeladatok2019'!AM$167:AM$321)</f>
        <v>0</v>
      </c>
      <c r="Q11" s="495">
        <f>+SUMIF('13.mell_ÖNKfeladatok2019'!$B$167:$B$321,'14.mell_Önk kiegészítés2019'!$A11,'13.mell_ÖNKfeladatok2019'!AQ$167:AQ$321)</f>
        <v>0</v>
      </c>
      <c r="R11" s="495">
        <f>+SUMIF('13.mell_ÖNKfeladatok2019'!$B$167:$B$321,'14.mell_Önk kiegészítés2019'!$A11,'13.mell_ÖNKfeladatok2019'!AU$167:AU$321)</f>
        <v>0</v>
      </c>
      <c r="S11" s="534">
        <f t="shared" si="1"/>
        <v>96291</v>
      </c>
      <c r="T11" s="496">
        <f t="shared" si="2"/>
        <v>67505</v>
      </c>
      <c r="U11" s="1079">
        <f>ROUND(SUMIF('10.mell_támogatások2019'!$B$6:$B$137,'14.mell_Önk kiegészítés2019'!$A11,'10.mell_támogatások2019'!D$6:D$137)/1000,0)-17267</f>
        <v>100107</v>
      </c>
      <c r="V11" s="497">
        <f t="shared" si="3"/>
        <v>-32602</v>
      </c>
      <c r="W11" s="486"/>
      <c r="X11" s="785">
        <f>+V11+V15+V35+V36+V62-(V35-4139)+6581</f>
        <v>-3259</v>
      </c>
      <c r="Y11" s="226" t="s">
        <v>1392</v>
      </c>
      <c r="AB11" s="226"/>
      <c r="AC11" s="226"/>
      <c r="AD11" s="226"/>
      <c r="AE11" s="226"/>
      <c r="AH11" s="226">
        <f>-((9317+1817)+(4714+919)+500)</f>
        <v>-17267</v>
      </c>
      <c r="BL11" s="226"/>
      <c r="BM11" s="226"/>
      <c r="BN11" s="226"/>
      <c r="BO11" s="226"/>
      <c r="BX11" s="226"/>
      <c r="BY11" s="226"/>
      <c r="BZ11" s="226"/>
      <c r="CA11" s="226"/>
    </row>
    <row r="12" spans="1:98">
      <c r="A12" s="735">
        <f>A11+1</f>
        <v>7</v>
      </c>
      <c r="B12" s="494" t="s">
        <v>781</v>
      </c>
      <c r="C12" s="495">
        <f>+SUMIF('13.mell_ÖNKfeladatok2019'!$B$5:$B$159,'14.mell_Önk kiegészítés2019'!$A12,'13.mell_ÖNKfeladatok2019'!O$5:O$159)</f>
        <v>0</v>
      </c>
      <c r="D12" s="495">
        <f>+SUMIF('13.mell_ÖNKfeladatok2019'!$B$5:$B$159,'14.mell_Önk kiegészítés2019'!$A12,'13.mell_ÖNKfeladatok2019'!S$5:S$159)</f>
        <v>0</v>
      </c>
      <c r="E12" s="495">
        <f>+SUMIF('13.mell_ÖNKfeladatok2019'!$B$5:$B$159,'14.mell_Önk kiegészítés2019'!$A12,'13.mell_ÖNKfeladatok2019'!W$5:W$159)</f>
        <v>0</v>
      </c>
      <c r="F12" s="495">
        <f>+SUMIF('13.mell_ÖNKfeladatok2019'!$B$5:$B$159,'14.mell_Önk kiegészítés2019'!$A12,'13.mell_ÖNKfeladatok2019'!AA$5:AA$159)</f>
        <v>0</v>
      </c>
      <c r="G12" s="491">
        <f>+SUMIF('13.mell_ÖNKfeladatok2019'!$B$5:$B$159,'14.mell_Önk kiegészítés2019'!$A12,'13.mell_ÖNKfeladatok2019'!AI$5:AI$159)</f>
        <v>0</v>
      </c>
      <c r="H12" s="495">
        <f>+SUMIF('13.mell_ÖNKfeladatok2019'!$B$5:$B$159,'14.mell_Önk kiegészítés2019'!$A12,'13.mell_ÖNKfeladatok2019'!AM$5:AM$159)</f>
        <v>0</v>
      </c>
      <c r="I12" s="495">
        <f>+SUMIF('13.mell_ÖNKfeladatok2019'!$B$5:$B$159,'14.mell_Önk kiegészítés2019'!$A12,'13.mell_ÖNKfeladatok2019'!AQ$5:AQ$159)</f>
        <v>0</v>
      </c>
      <c r="J12" s="534">
        <f t="shared" si="0"/>
        <v>0</v>
      </c>
      <c r="K12" s="495">
        <f>+SUMIF('13.mell_ÖNKfeladatok2019'!$B$167:$B$321,'14.mell_Önk kiegészítés2019'!$A12,'13.mell_ÖNKfeladatok2019'!O$167:O$321)</f>
        <v>0</v>
      </c>
      <c r="L12" s="495">
        <f>+SUMIF('13.mell_ÖNKfeladatok2019'!$B$167:$B$321,'14.mell_Önk kiegészítés2019'!$A12,'13.mell_ÖNKfeladatok2019'!S$167:S$321)</f>
        <v>0</v>
      </c>
      <c r="M12" s="495">
        <f>+SUMIF('13.mell_ÖNKfeladatok2019'!$B$167:$B$321,'14.mell_Önk kiegészítés2019'!$A12,'13.mell_ÖNKfeladatok2019'!W$167:W$321)</f>
        <v>0</v>
      </c>
      <c r="N12" s="495">
        <f>+SUMIF('13.mell_ÖNKfeladatok2019'!$B$167:$B$321,'14.mell_Önk kiegészítés2019'!$A12,'13.mell_ÖNKfeladatok2019'!AA$167:AA$321)</f>
        <v>0</v>
      </c>
      <c r="O12" s="495">
        <f>+SUMIF('13.mell_ÖNKfeladatok2019'!$B$167:$B$321,'14.mell_Önk kiegészítés2019'!$A12,'13.mell_ÖNKfeladatok2019'!AE$167:AE$321)</f>
        <v>0</v>
      </c>
      <c r="P12" s="495">
        <f>+SUMIF('13.mell_ÖNKfeladatok2019'!$B$167:$B$321,'14.mell_Önk kiegészítés2019'!$A12,'13.mell_ÖNKfeladatok2019'!AM$167:AM$321)</f>
        <v>6672</v>
      </c>
      <c r="Q12" s="495">
        <f>+SUMIF('13.mell_ÖNKfeladatok2019'!$B$167:$B$321,'14.mell_Önk kiegészítés2019'!$A12,'13.mell_ÖNKfeladatok2019'!AQ$167:AQ$321)</f>
        <v>0</v>
      </c>
      <c r="R12" s="495">
        <f>+SUMIF('13.mell_ÖNKfeladatok2019'!$B$167:$B$321,'14.mell_Önk kiegészítés2019'!$A12,'13.mell_ÖNKfeladatok2019'!AU$167:AU$321)</f>
        <v>0</v>
      </c>
      <c r="S12" s="534">
        <f t="shared" si="1"/>
        <v>6672</v>
      </c>
      <c r="T12" s="496">
        <f t="shared" si="2"/>
        <v>6672</v>
      </c>
      <c r="U12" s="1080">
        <f>+ROUND(SUMIF('10.mell_támogatások2019'!$B$6:$B$137,'14.mell_Önk kiegészítés2019'!$A12,'10.mell_támogatások2019'!D$6:D$137)/1000,0)</f>
        <v>0</v>
      </c>
      <c r="V12" s="497">
        <f t="shared" si="3"/>
        <v>6672</v>
      </c>
      <c r="W12" s="486"/>
      <c r="AB12" s="226"/>
      <c r="AC12" s="226"/>
      <c r="AD12" s="226"/>
      <c r="AE12" s="226"/>
      <c r="BL12" s="226"/>
      <c r="BM12" s="226"/>
      <c r="BN12" s="226"/>
      <c r="BO12" s="226"/>
      <c r="BX12" s="226"/>
      <c r="BY12" s="226"/>
      <c r="BZ12" s="226"/>
      <c r="CA12" s="226"/>
    </row>
    <row r="13" spans="1:98" ht="12.75" thickBot="1">
      <c r="A13" s="735">
        <f>+A12+1</f>
        <v>8</v>
      </c>
      <c r="B13" s="498" t="s">
        <v>764</v>
      </c>
      <c r="C13" s="495">
        <f>+SUMIF('13.mell_ÖNKfeladatok2019'!$B$5:$B$159,'14.mell_Önk kiegészítés2019'!$A13,'13.mell_ÖNKfeladatok2019'!O$5:O$159)</f>
        <v>930780</v>
      </c>
      <c r="D13" s="499">
        <f>+SUMIF('13.mell_ÖNKfeladatok2019'!$B$5:$B$159,'14.mell_Önk kiegészítés2019'!$A13,'13.mell_ÖNKfeladatok2019'!S$5:S$159)</f>
        <v>371480</v>
      </c>
      <c r="E13" s="499">
        <f>+SUMIF('13.mell_ÖNKfeladatok2019'!$B$5:$B$159,'14.mell_Önk kiegészítés2019'!$A13,'13.mell_ÖNKfeladatok2019'!W$5:W$159)</f>
        <v>72147</v>
      </c>
      <c r="F13" s="499">
        <f>+SUMIF('13.mell_ÖNKfeladatok2019'!$B$5:$B$159,'14.mell_Önk kiegészítés2019'!$A13,'13.mell_ÖNKfeladatok2019'!AA$5:AA$159)</f>
        <v>5800</v>
      </c>
      <c r="G13" s="491">
        <f>+SUMIF('13.mell_ÖNKfeladatok2019'!$B$5:$B$159,'14.mell_Önk kiegészítés2019'!$A13,'13.mell_ÖNKfeladatok2019'!AI$5:AI$159)</f>
        <v>27399</v>
      </c>
      <c r="H13" s="499">
        <f>+SUMIF('13.mell_ÖNKfeladatok2019'!$B$5:$B$159,'14.mell_Önk kiegészítés2019'!$A13,'13.mell_ÖNKfeladatok2019'!AM$5:AM$159)</f>
        <v>10350</v>
      </c>
      <c r="I13" s="499">
        <f>+SUMIF('13.mell_ÖNKfeladatok2019'!$B$5:$B$159,'14.mell_Önk kiegészítés2019'!$A13,'13.mell_ÖNKfeladatok2019'!AQ$5:AQ$159)</f>
        <v>0</v>
      </c>
      <c r="J13" s="534">
        <f t="shared" si="0"/>
        <v>1417956</v>
      </c>
      <c r="K13" s="495">
        <f>+SUMIF('13.mell_ÖNKfeladatok2019'!$B$167:$B$321,'14.mell_Önk kiegészítés2019'!$A13,'13.mell_ÖNKfeladatok2019'!O$167:O$321)</f>
        <v>0</v>
      </c>
      <c r="L13" s="495">
        <f>+SUMIF('13.mell_ÖNKfeladatok2019'!$B$167:$B$321,'14.mell_Önk kiegészítés2019'!$A13,'13.mell_ÖNKfeladatok2019'!S$167:S$321)</f>
        <v>0</v>
      </c>
      <c r="M13" s="495">
        <f>+SUMIF('13.mell_ÖNKfeladatok2019'!$B$167:$B$321,'14.mell_Önk kiegészítés2019'!$A13,'13.mell_ÖNKfeladatok2019'!W$167:W$321)</f>
        <v>118848</v>
      </c>
      <c r="N13" s="495">
        <f>+SUMIF('13.mell_ÖNKfeladatok2019'!$B$167:$B$321,'14.mell_Önk kiegészítés2019'!$A13,'13.mell_ÖNKfeladatok2019'!AA$167:AA$321)</f>
        <v>0</v>
      </c>
      <c r="O13" s="495">
        <f>+SUMIF('13.mell_ÖNKfeladatok2019'!$B$167:$B$321,'14.mell_Önk kiegészítés2019'!$A13,'13.mell_ÖNKfeladatok2019'!AE$167:AE$321)</f>
        <v>2869912</v>
      </c>
      <c r="P13" s="495">
        <f>+SUMIF('13.mell_ÖNKfeladatok2019'!$B$167:$B$321,'14.mell_Önk kiegészítés2019'!$A13,'13.mell_ÖNKfeladatok2019'!AM$167:AM$321)</f>
        <v>93975</v>
      </c>
      <c r="Q13" s="495">
        <f>+SUMIF('13.mell_ÖNKfeladatok2019'!$B$167:$B$321,'14.mell_Önk kiegészítés2019'!$A13,'13.mell_ÖNKfeladatok2019'!AQ$167:AQ$321)</f>
        <v>8676</v>
      </c>
      <c r="R13" s="495">
        <f>+SUMIF('13.mell_ÖNKfeladatok2019'!$B$167:$B$321,'14.mell_Önk kiegészítés2019'!$A13,'13.mell_ÖNKfeladatok2019'!AU$167:AU$321)</f>
        <v>0</v>
      </c>
      <c r="S13" s="534">
        <f t="shared" si="1"/>
        <v>3091411</v>
      </c>
      <c r="T13" s="496">
        <f t="shared" si="2"/>
        <v>1673455</v>
      </c>
      <c r="U13" s="1080">
        <f>-ROUND('10.mell_támogatások2019'!$D$137/1000,0)+ROUND(SUMIF('10.mell_támogatások2019'!$B$6:$B$137,'14.mell_Önk kiegészítés2019'!$A13,'10.mell_támogatások2019'!D$6:D$137)/1000,0)+1</f>
        <v>-738504</v>
      </c>
      <c r="V13" s="497">
        <f t="shared" si="3"/>
        <v>2411959</v>
      </c>
      <c r="W13" s="486"/>
      <c r="AB13" s="226"/>
      <c r="AC13" s="226"/>
      <c r="AD13" s="226"/>
      <c r="AE13" s="226"/>
      <c r="BL13" s="226"/>
      <c r="BM13" s="226"/>
      <c r="BN13" s="226"/>
      <c r="BO13" s="226"/>
      <c r="BX13" s="226"/>
      <c r="BY13" s="226"/>
      <c r="BZ13" s="226"/>
      <c r="CA13" s="226"/>
    </row>
    <row r="14" spans="1:98" s="486" customFormat="1" ht="12.75" thickBot="1">
      <c r="A14" s="500" t="s">
        <v>596</v>
      </c>
      <c r="B14" s="501" t="s">
        <v>411</v>
      </c>
      <c r="C14" s="502">
        <f>SUM(C6:C13)</f>
        <v>959566</v>
      </c>
      <c r="D14" s="503">
        <f t="shared" ref="D14" si="4">SUM(D6:D13)</f>
        <v>371480</v>
      </c>
      <c r="E14" s="503">
        <f t="shared" ref="E14:V14" si="5">SUM(E6:E13)</f>
        <v>73647</v>
      </c>
      <c r="F14" s="503">
        <f t="shared" si="5"/>
        <v>5800</v>
      </c>
      <c r="G14" s="503">
        <f t="shared" si="5"/>
        <v>27399</v>
      </c>
      <c r="H14" s="503">
        <f t="shared" si="5"/>
        <v>10350</v>
      </c>
      <c r="I14" s="504">
        <f t="shared" si="5"/>
        <v>0</v>
      </c>
      <c r="J14" s="505">
        <f t="shared" si="5"/>
        <v>1448242</v>
      </c>
      <c r="K14" s="502">
        <f t="shared" si="5"/>
        <v>59779</v>
      </c>
      <c r="L14" s="502">
        <f t="shared" si="5"/>
        <v>8859</v>
      </c>
      <c r="M14" s="502">
        <f t="shared" si="5"/>
        <v>195031</v>
      </c>
      <c r="N14" s="502">
        <f t="shared" si="5"/>
        <v>52505</v>
      </c>
      <c r="O14" s="502">
        <f t="shared" si="5"/>
        <v>2869912</v>
      </c>
      <c r="P14" s="502">
        <f t="shared" si="5"/>
        <v>103147</v>
      </c>
      <c r="Q14" s="502">
        <f t="shared" si="5"/>
        <v>19676</v>
      </c>
      <c r="R14" s="502">
        <f t="shared" si="5"/>
        <v>0</v>
      </c>
      <c r="S14" s="505">
        <f t="shared" si="5"/>
        <v>3308909</v>
      </c>
      <c r="T14" s="502">
        <f t="shared" si="5"/>
        <v>1860667</v>
      </c>
      <c r="U14" s="506">
        <f t="shared" si="5"/>
        <v>-577949</v>
      </c>
      <c r="V14" s="505">
        <f t="shared" si="5"/>
        <v>2438616</v>
      </c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26"/>
      <c r="AL14" s="226"/>
      <c r="AM14" s="226"/>
      <c r="AN14" s="226"/>
      <c r="AO14" s="226"/>
    </row>
    <row r="15" spans="1:98" ht="12.75">
      <c r="A15" s="735">
        <f>+A13+1</f>
        <v>9</v>
      </c>
      <c r="B15" s="498" t="s">
        <v>779</v>
      </c>
      <c r="C15" s="499">
        <f>+SUMIF('13.mell_ÖNKfeladatok2019'!$B$5:$B$159,'14.mell_Önk kiegészítés2019'!$A15,'13.mell_ÖNKfeladatok2019'!O$5:O$159)</f>
        <v>0</v>
      </c>
      <c r="D15" s="499">
        <f>+SUMIF('13.mell_ÖNKfeladatok2019'!$B$5:$B$159,'14.mell_Önk kiegészítés2019'!$A15,'13.mell_ÖNKfeladatok2019'!S$5:S$159)</f>
        <v>0</v>
      </c>
      <c r="E15" s="499">
        <f>+SUMIF('13.mell_ÖNKfeladatok2019'!$B$5:$B$159,'14.mell_Önk kiegészítés2019'!$A15,'13.mell_ÖNKfeladatok2019'!W$5:W$159)</f>
        <v>0</v>
      </c>
      <c r="F15" s="499">
        <f>+SUMIF('13.mell_ÖNKfeladatok2019'!$B$5:$B$159,'14.mell_Önk kiegészítés2019'!$A15,'13.mell_ÖNKfeladatok2019'!AA$5:AA$159)</f>
        <v>0</v>
      </c>
      <c r="G15" s="499">
        <f>+SUMIF('13.mell_ÖNKfeladatok2019'!$B$5:$B$159,'14.mell_Önk kiegészítés2019'!$A15,'13.mell_ÖNKfeladatok2019'!AI$5:AI$159)</f>
        <v>0</v>
      </c>
      <c r="H15" s="499">
        <f>+SUMIF('13.mell_ÖNKfeladatok2019'!$B$5:$B$159,'14.mell_Önk kiegészítés2019'!$A15,'13.mell_ÖNKfeladatok2019'!AM$5:AM$159)</f>
        <v>0</v>
      </c>
      <c r="I15" s="499">
        <f>+SUMIF('13.mell_ÖNKfeladatok2019'!$B$5:$B$159,'14.mell_Önk kiegészítés2019'!$A15,'13.mell_ÖNKfeladatok2019'!AQ$5:AQ$159)</f>
        <v>0</v>
      </c>
      <c r="J15" s="535">
        <f>SUM(C15:I15)</f>
        <v>0</v>
      </c>
      <c r="K15" s="495">
        <f>+SUMIF('13.mell_ÖNKfeladatok2019'!$B$167:$B$321,'14.mell_Önk kiegészítés2019'!$A15,'13.mell_ÖNKfeladatok2019'!O$167:O$321)</f>
        <v>0</v>
      </c>
      <c r="L15" s="495">
        <f>+SUMIF('13.mell_ÖNKfeladatok2019'!$B$167:$B$321,'14.mell_Önk kiegészítés2019'!$A15,'13.mell_ÖNKfeladatok2019'!S$167:S$321)</f>
        <v>0</v>
      </c>
      <c r="M15" s="495">
        <f>+SUMIF('13.mell_ÖNKfeladatok2019'!$B$167:$B$321,'14.mell_Önk kiegészítés2019'!$A15,'13.mell_ÖNKfeladatok2019'!W$167:W$321)</f>
        <v>0</v>
      </c>
      <c r="N15" s="495">
        <f>+SUMIF('13.mell_ÖNKfeladatok2019'!$B$167:$B$321,'14.mell_Önk kiegészítés2019'!$A15,'13.mell_ÖNKfeladatok2019'!AA$167:AA$321)</f>
        <v>5038</v>
      </c>
      <c r="O15" s="495">
        <f>+SUMIF('13.mell_ÖNKfeladatok2019'!$B$167:$B$321,'14.mell_Önk kiegészítés2019'!$A15,'13.mell_ÖNKfeladatok2019'!AE$167:AE$321)</f>
        <v>0</v>
      </c>
      <c r="P15" s="495">
        <f>+SUMIF('13.mell_ÖNKfeladatok2019'!$B$167:$B$321,'14.mell_Önk kiegészítés2019'!$A15,'13.mell_ÖNKfeladatok2019'!AM$167:AM$321)</f>
        <v>0</v>
      </c>
      <c r="Q15" s="495">
        <f>+SUMIF('13.mell_ÖNKfeladatok2019'!$B$167:$B$321,'14.mell_Önk kiegészítés2019'!$A15,'13.mell_ÖNKfeladatok2019'!AQ$167:AQ$321)</f>
        <v>0</v>
      </c>
      <c r="R15" s="495">
        <f>+SUMIF('13.mell_ÖNKfeladatok2019'!$B$167:$B$321,'14.mell_Önk kiegészítés2019'!$A15,'13.mell_ÖNKfeladatok2019'!AU$167:AU$321)</f>
        <v>0</v>
      </c>
      <c r="S15" s="534">
        <f>SUM(K15:R15)</f>
        <v>5038</v>
      </c>
      <c r="T15" s="496">
        <f>S15-J15</f>
        <v>5038</v>
      </c>
      <c r="U15" s="1081">
        <f>+ROUND(SUMIF('10.mell_támogatások2019'!$B$6:$B$137,'14.mell_Önk kiegészítés2019'!$A15,'10.mell_támogatások2019'!D$6:D$137)/1000,0)</f>
        <v>0</v>
      </c>
      <c r="V15" s="497">
        <f>+T15-U15</f>
        <v>5038</v>
      </c>
      <c r="W15" s="486"/>
      <c r="AB15" s="226"/>
      <c r="AC15" s="226"/>
      <c r="AD15" s="226"/>
      <c r="AE15" s="226"/>
      <c r="BL15" s="226"/>
      <c r="BM15" s="226"/>
      <c r="BN15" s="226"/>
      <c r="BO15" s="226"/>
      <c r="BX15" s="226"/>
      <c r="BY15" s="226"/>
      <c r="BZ15" s="226"/>
      <c r="CA15" s="226"/>
    </row>
    <row r="16" spans="1:98" ht="12.75" thickBot="1">
      <c r="A16" s="735">
        <f>+A15+1</f>
        <v>10</v>
      </c>
      <c r="B16" s="498" t="s">
        <v>765</v>
      </c>
      <c r="C16" s="499">
        <f>+SUMIF('13.mell_ÖNKfeladatok2019'!$B$5:$B$159,'14.mell_Önk kiegészítés2019'!$A16,'13.mell_ÖNKfeladatok2019'!O$5:O$159)</f>
        <v>0</v>
      </c>
      <c r="D16" s="499">
        <f>+SUMIF('13.mell_ÖNKfeladatok2019'!$B$5:$B$159,'14.mell_Önk kiegészítés2019'!$A16,'13.mell_ÖNKfeladatok2019'!S$5:S$159)</f>
        <v>0</v>
      </c>
      <c r="E16" s="499">
        <f>+SUMIF('13.mell_ÖNKfeladatok2019'!$B$5:$B$159,'14.mell_Önk kiegészítés2019'!$A16,'13.mell_ÖNKfeladatok2019'!W$5:W$159)</f>
        <v>0</v>
      </c>
      <c r="F16" s="499">
        <f>+SUMIF('13.mell_ÖNKfeladatok2019'!$B$5:$B$159,'14.mell_Önk kiegészítés2019'!$A16,'13.mell_ÖNKfeladatok2019'!AA$5:AA$159)</f>
        <v>0</v>
      </c>
      <c r="G16" s="499">
        <f>+SUMIF('13.mell_ÖNKfeladatok2019'!$B$5:$B$159,'14.mell_Önk kiegészítés2019'!$A16,'13.mell_ÖNKfeladatok2019'!AI$5:AI$159)</f>
        <v>350000</v>
      </c>
      <c r="H16" s="499">
        <f>+SUMIF('13.mell_ÖNKfeladatok2019'!$B$5:$B$159,'14.mell_Önk kiegészítés2019'!$A16,'13.mell_ÖNKfeladatok2019'!AM$5:AM$159)</f>
        <v>0</v>
      </c>
      <c r="I16" s="499">
        <f>+SUMIF('13.mell_ÖNKfeladatok2019'!$B$5:$B$159,'14.mell_Önk kiegészítés2019'!$A16,'13.mell_ÖNKfeladatok2019'!AQ$5:AQ$159)</f>
        <v>1500</v>
      </c>
      <c r="J16" s="535">
        <f>SUM(C16:I16)</f>
        <v>351500</v>
      </c>
      <c r="K16" s="495">
        <f>+SUMIF('13.mell_ÖNKfeladatok2019'!$B$167:$B$321,'14.mell_Önk kiegészítés2019'!$A16,'13.mell_ÖNKfeladatok2019'!O$167:O$321)</f>
        <v>0</v>
      </c>
      <c r="L16" s="495">
        <f>+SUMIF('13.mell_ÖNKfeladatok2019'!$B$167:$B$321,'14.mell_Önk kiegészítés2019'!$A16,'13.mell_ÖNKfeladatok2019'!S$167:S$321)</f>
        <v>0</v>
      </c>
      <c r="M16" s="495">
        <f>+SUMIF('13.mell_ÖNKfeladatok2019'!$B$167:$B$321,'14.mell_Önk kiegészítés2019'!$A16,'13.mell_ÖNKfeladatok2019'!W$167:W$321)</f>
        <v>2000</v>
      </c>
      <c r="N16" s="495">
        <f>+SUMIF('13.mell_ÖNKfeladatok2019'!$B$167:$B$321,'14.mell_Önk kiegészítés2019'!$A16,'13.mell_ÖNKfeladatok2019'!AA$167:AA$321)</f>
        <v>0</v>
      </c>
      <c r="O16" s="495">
        <f>+SUMIF('13.mell_ÖNKfeladatok2019'!$B$167:$B$321,'14.mell_Önk kiegészítés2019'!$A16,'13.mell_ÖNKfeladatok2019'!AE$167:AE$321)</f>
        <v>1200</v>
      </c>
      <c r="P16" s="495">
        <f>+SUMIF('13.mell_ÖNKfeladatok2019'!$B$167:$B$321,'14.mell_Önk kiegészítés2019'!$A16,'13.mell_ÖNKfeladatok2019'!AM$167:AM$321)</f>
        <v>350000</v>
      </c>
      <c r="Q16" s="495">
        <f>+SUMIF('13.mell_ÖNKfeladatok2019'!$B$167:$B$321,'14.mell_Önk kiegészítés2019'!$A16,'13.mell_ÖNKfeladatok2019'!AQ$167:AQ$321)</f>
        <v>0</v>
      </c>
      <c r="R16" s="495">
        <f>+SUMIF('13.mell_ÖNKfeladatok2019'!$B$167:$B$321,'14.mell_Önk kiegészítés2019'!$A16,'13.mell_ÖNKfeladatok2019'!AU$167:AU$321)</f>
        <v>0</v>
      </c>
      <c r="S16" s="534">
        <f>SUM(K16:R16)</f>
        <v>353200</v>
      </c>
      <c r="T16" s="496">
        <f>S16-J16</f>
        <v>1700</v>
      </c>
      <c r="U16" s="1080">
        <f>+ROUND(SUMIF('10.mell_támogatások2019'!$B$6:$B$137,'14.mell_Önk kiegészítés2019'!$A16,'10.mell_támogatások2019'!D$6:D$137)/1000,0)</f>
        <v>0</v>
      </c>
      <c r="V16" s="497">
        <f>+T16-U16</f>
        <v>1700</v>
      </c>
      <c r="W16" s="486"/>
      <c r="AB16" s="226"/>
      <c r="AC16" s="226"/>
      <c r="AD16" s="226"/>
      <c r="AE16" s="226"/>
      <c r="BL16" s="226"/>
      <c r="BM16" s="226"/>
      <c r="BN16" s="226"/>
      <c r="BO16" s="226"/>
      <c r="BX16" s="226"/>
      <c r="BY16" s="226"/>
      <c r="BZ16" s="226"/>
      <c r="CA16" s="226"/>
    </row>
    <row r="17" spans="1:79" s="486" customFormat="1" ht="12.75" thickBot="1">
      <c r="A17" s="500" t="s">
        <v>597</v>
      </c>
      <c r="B17" s="501" t="s">
        <v>412</v>
      </c>
      <c r="C17" s="502">
        <f t="shared" ref="C17" si="6">SUM(C15:C16)</f>
        <v>0</v>
      </c>
      <c r="D17" s="503">
        <f t="shared" ref="D17:V17" si="7">SUM(D15:D16)</f>
        <v>0</v>
      </c>
      <c r="E17" s="503">
        <f t="shared" si="7"/>
        <v>0</v>
      </c>
      <c r="F17" s="503">
        <f t="shared" si="7"/>
        <v>0</v>
      </c>
      <c r="G17" s="503">
        <f t="shared" si="7"/>
        <v>350000</v>
      </c>
      <c r="H17" s="503">
        <f t="shared" si="7"/>
        <v>0</v>
      </c>
      <c r="I17" s="506">
        <f t="shared" si="7"/>
        <v>1500</v>
      </c>
      <c r="J17" s="505">
        <f t="shared" si="7"/>
        <v>351500</v>
      </c>
      <c r="K17" s="502">
        <f t="shared" si="7"/>
        <v>0</v>
      </c>
      <c r="L17" s="502">
        <f t="shared" si="7"/>
        <v>0</v>
      </c>
      <c r="M17" s="502">
        <f t="shared" si="7"/>
        <v>2000</v>
      </c>
      <c r="N17" s="502">
        <f t="shared" si="7"/>
        <v>5038</v>
      </c>
      <c r="O17" s="502">
        <f t="shared" si="7"/>
        <v>1200</v>
      </c>
      <c r="P17" s="502">
        <f t="shared" si="7"/>
        <v>350000</v>
      </c>
      <c r="Q17" s="502">
        <f t="shared" si="7"/>
        <v>0</v>
      </c>
      <c r="R17" s="502">
        <f t="shared" si="7"/>
        <v>0</v>
      </c>
      <c r="S17" s="505">
        <f t="shared" si="7"/>
        <v>358238</v>
      </c>
      <c r="T17" s="502">
        <f t="shared" si="7"/>
        <v>6738</v>
      </c>
      <c r="U17" s="506">
        <f t="shared" si="7"/>
        <v>0</v>
      </c>
      <c r="V17" s="505">
        <f t="shared" si="7"/>
        <v>6738</v>
      </c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6"/>
      <c r="AO17" s="226"/>
    </row>
    <row r="18" spans="1:79" ht="12.75" thickBot="1">
      <c r="A18" s="735">
        <f>+A16+1</f>
        <v>11</v>
      </c>
      <c r="B18" s="507" t="s">
        <v>413</v>
      </c>
      <c r="C18" s="508">
        <f>+SUMIF('13.mell_ÖNKfeladatok2019'!$B$5:$B$159,'14.mell_Önk kiegészítés2019'!$A18,'13.mell_ÖNKfeladatok2019'!O$5:O$159)</f>
        <v>0</v>
      </c>
      <c r="D18" s="508">
        <f>+SUMIF('13.mell_ÖNKfeladatok2019'!$B$5:$B$159,'14.mell_Önk kiegészítés2019'!$A18,'13.mell_ÖNKfeladatok2019'!S$5:S$159)</f>
        <v>0</v>
      </c>
      <c r="E18" s="508">
        <f>+SUMIF('13.mell_ÖNKfeladatok2019'!$B$5:$B$159,'14.mell_Önk kiegészítés2019'!$A18,'13.mell_ÖNKfeladatok2019'!W$5:W$159)</f>
        <v>0</v>
      </c>
      <c r="F18" s="508">
        <f>+SUMIF('13.mell_ÖNKfeladatok2019'!$B$5:$B$159,'14.mell_Önk kiegészítés2019'!$A18,'13.mell_ÖNKfeladatok2019'!AA$5:AA$159)</f>
        <v>0</v>
      </c>
      <c r="G18" s="508">
        <f>+SUMIF('13.mell_ÖNKfeladatok2019'!$B$5:$B$159,'14.mell_Önk kiegészítés2019'!$A18,'13.mell_ÖNKfeladatok2019'!AI$5:AI$159)</f>
        <v>0</v>
      </c>
      <c r="H18" s="508">
        <f>+SUMIF('13.mell_ÖNKfeladatok2019'!$B$5:$B$159,'14.mell_Önk kiegészítés2019'!$A18,'13.mell_ÖNKfeladatok2019'!AM$5:AM$159)</f>
        <v>0</v>
      </c>
      <c r="I18" s="508">
        <f>+SUMIF('13.mell_ÖNKfeladatok2019'!$B$5:$B$159,'14.mell_Önk kiegészítés2019'!$A18,'13.mell_ÖNKfeladatok2019'!AQ$5:AQ$159)</f>
        <v>0</v>
      </c>
      <c r="J18" s="536">
        <f>SUM(C18:I18)</f>
        <v>0</v>
      </c>
      <c r="K18" s="495">
        <f>+SUMIF('13.mell_ÖNKfeladatok2019'!$B$167:$B$321,'14.mell_Önk kiegészítés2019'!$A18,'13.mell_ÖNKfeladatok2019'!O$167:O$321)</f>
        <v>0</v>
      </c>
      <c r="L18" s="495">
        <f>+SUMIF('13.mell_ÖNKfeladatok2019'!$B$167:$B$321,'14.mell_Önk kiegészítés2019'!$A18,'13.mell_ÖNKfeladatok2019'!S$167:S$321)</f>
        <v>0</v>
      </c>
      <c r="M18" s="495">
        <f>+SUMIF('13.mell_ÖNKfeladatok2019'!$B$167:$B$321,'14.mell_Önk kiegészítés2019'!$A18,'13.mell_ÖNKfeladatok2019'!W$167:W$321)</f>
        <v>0</v>
      </c>
      <c r="N18" s="495">
        <f>+SUMIF('13.mell_ÖNKfeladatok2019'!$B$167:$B$321,'14.mell_Önk kiegészítés2019'!$A18,'13.mell_ÖNKfeladatok2019'!AA$167:AA$321)</f>
        <v>0</v>
      </c>
      <c r="O18" s="495">
        <f>+SUMIF('13.mell_ÖNKfeladatok2019'!$B$167:$B$321,'14.mell_Önk kiegészítés2019'!$A18,'13.mell_ÖNKfeladatok2019'!AE$167:AE$321)</f>
        <v>0</v>
      </c>
      <c r="P18" s="495">
        <f>+SUMIF('13.mell_ÖNKfeladatok2019'!$B$167:$B$321,'14.mell_Önk kiegészítés2019'!$A18,'13.mell_ÖNKfeladatok2019'!AM$167:AM$321)</f>
        <v>0</v>
      </c>
      <c r="Q18" s="495">
        <f>+SUMIF('13.mell_ÖNKfeladatok2019'!$B$167:$B$321,'14.mell_Önk kiegészítés2019'!$A18,'13.mell_ÖNKfeladatok2019'!AQ$167:AQ$321)</f>
        <v>0</v>
      </c>
      <c r="R18" s="495">
        <f>+SUMIF('13.mell_ÖNKfeladatok2019'!$B$167:$B$321,'14.mell_Önk kiegészítés2019'!$A18,'13.mell_ÖNKfeladatok2019'!AU$167:AU$321)</f>
        <v>0</v>
      </c>
      <c r="S18" s="534">
        <f>SUM(K18:R18)</f>
        <v>0</v>
      </c>
      <c r="T18" s="496">
        <f>S18-J18</f>
        <v>0</v>
      </c>
      <c r="U18" s="1080">
        <f>+ROUND(SUMIF('10.mell_támogatások2019'!$B$6:$B$137,'14.mell_Önk kiegészítés2019'!$A18,'10.mell_támogatások2019'!D$6:D$137)/1000,0)</f>
        <v>0</v>
      </c>
      <c r="V18" s="497">
        <f>+T18-U18</f>
        <v>0</v>
      </c>
      <c r="W18" s="486"/>
      <c r="AB18" s="226"/>
      <c r="AC18" s="226"/>
      <c r="AD18" s="226"/>
      <c r="AE18" s="226"/>
      <c r="BL18" s="226"/>
      <c r="BM18" s="226"/>
      <c r="BN18" s="226"/>
      <c r="BO18" s="226"/>
      <c r="BX18" s="226"/>
      <c r="BY18" s="226"/>
      <c r="BZ18" s="226"/>
      <c r="CA18" s="226"/>
    </row>
    <row r="19" spans="1:79" s="486" customFormat="1" ht="12.75" thickBot="1">
      <c r="A19" s="500" t="s">
        <v>598</v>
      </c>
      <c r="B19" s="501" t="s">
        <v>413</v>
      </c>
      <c r="C19" s="502">
        <f>SUM(C18)</f>
        <v>0</v>
      </c>
      <c r="D19" s="503">
        <f t="shared" ref="D19" si="8">SUM(D18)</f>
        <v>0</v>
      </c>
      <c r="E19" s="503">
        <f t="shared" ref="E19:V19" si="9">SUM(E18)</f>
        <v>0</v>
      </c>
      <c r="F19" s="503">
        <f t="shared" si="9"/>
        <v>0</v>
      </c>
      <c r="G19" s="503">
        <f t="shared" si="9"/>
        <v>0</v>
      </c>
      <c r="H19" s="503">
        <f t="shared" si="9"/>
        <v>0</v>
      </c>
      <c r="I19" s="506">
        <f t="shared" si="9"/>
        <v>0</v>
      </c>
      <c r="J19" s="505">
        <f t="shared" si="9"/>
        <v>0</v>
      </c>
      <c r="K19" s="502">
        <f t="shared" si="9"/>
        <v>0</v>
      </c>
      <c r="L19" s="502">
        <f t="shared" si="9"/>
        <v>0</v>
      </c>
      <c r="M19" s="502">
        <f t="shared" si="9"/>
        <v>0</v>
      </c>
      <c r="N19" s="502">
        <f t="shared" si="9"/>
        <v>0</v>
      </c>
      <c r="O19" s="502">
        <f t="shared" si="9"/>
        <v>0</v>
      </c>
      <c r="P19" s="502">
        <f t="shared" si="9"/>
        <v>0</v>
      </c>
      <c r="Q19" s="502">
        <f t="shared" si="9"/>
        <v>0</v>
      </c>
      <c r="R19" s="502">
        <f t="shared" si="9"/>
        <v>0</v>
      </c>
      <c r="S19" s="505">
        <f t="shared" si="9"/>
        <v>0</v>
      </c>
      <c r="T19" s="502">
        <f t="shared" si="9"/>
        <v>0</v>
      </c>
      <c r="U19" s="506">
        <f t="shared" si="9"/>
        <v>0</v>
      </c>
      <c r="V19" s="505">
        <f t="shared" si="9"/>
        <v>0</v>
      </c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  <c r="AO19" s="226"/>
    </row>
    <row r="20" spans="1:79" s="486" customFormat="1" ht="12.75" thickBot="1">
      <c r="A20" s="509" t="s">
        <v>23</v>
      </c>
      <c r="B20" s="510" t="s">
        <v>414</v>
      </c>
      <c r="C20" s="511">
        <f t="shared" ref="C20" si="10">+C14+C17+C19</f>
        <v>959566</v>
      </c>
      <c r="D20" s="512">
        <f t="shared" ref="D20:V20" si="11">+D14+D17+D19</f>
        <v>371480</v>
      </c>
      <c r="E20" s="512">
        <f t="shared" si="11"/>
        <v>73647</v>
      </c>
      <c r="F20" s="512">
        <f t="shared" si="11"/>
        <v>5800</v>
      </c>
      <c r="G20" s="512">
        <f t="shared" si="11"/>
        <v>377399</v>
      </c>
      <c r="H20" s="512">
        <f t="shared" si="11"/>
        <v>10350</v>
      </c>
      <c r="I20" s="513">
        <f t="shared" si="11"/>
        <v>1500</v>
      </c>
      <c r="J20" s="514">
        <f t="shared" si="11"/>
        <v>1799742</v>
      </c>
      <c r="K20" s="511">
        <f t="shared" si="11"/>
        <v>59779</v>
      </c>
      <c r="L20" s="511">
        <f t="shared" si="11"/>
        <v>8859</v>
      </c>
      <c r="M20" s="511">
        <f t="shared" si="11"/>
        <v>197031</v>
      </c>
      <c r="N20" s="511">
        <f t="shared" si="11"/>
        <v>57543</v>
      </c>
      <c r="O20" s="511">
        <f t="shared" si="11"/>
        <v>2871112</v>
      </c>
      <c r="P20" s="511">
        <f t="shared" si="11"/>
        <v>453147</v>
      </c>
      <c r="Q20" s="511">
        <f t="shared" si="11"/>
        <v>19676</v>
      </c>
      <c r="R20" s="511">
        <f t="shared" si="11"/>
        <v>0</v>
      </c>
      <c r="S20" s="514">
        <f t="shared" si="11"/>
        <v>3667147</v>
      </c>
      <c r="T20" s="511">
        <f t="shared" si="11"/>
        <v>1867405</v>
      </c>
      <c r="U20" s="513">
        <f t="shared" si="11"/>
        <v>-577949</v>
      </c>
      <c r="V20" s="514">
        <f t="shared" si="11"/>
        <v>2445354</v>
      </c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6"/>
      <c r="AM20" s="226"/>
      <c r="AN20" s="226"/>
      <c r="AO20" s="226"/>
    </row>
    <row r="21" spans="1:79" s="486" customFormat="1" ht="12.75" thickBot="1">
      <c r="A21" s="520"/>
      <c r="B21" s="521"/>
      <c r="C21" s="522"/>
      <c r="D21" s="522"/>
      <c r="E21" s="522"/>
      <c r="F21" s="522"/>
      <c r="G21" s="522"/>
      <c r="H21" s="522"/>
      <c r="I21" s="769"/>
      <c r="J21" s="525"/>
      <c r="K21" s="522"/>
      <c r="L21" s="522"/>
      <c r="M21" s="522"/>
      <c r="N21" s="522"/>
      <c r="O21" s="522"/>
      <c r="P21" s="522"/>
      <c r="Q21" s="522"/>
      <c r="R21" s="522"/>
      <c r="S21" s="525"/>
      <c r="T21" s="522"/>
      <c r="U21" s="524"/>
      <c r="V21" s="525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6"/>
      <c r="AO21" s="226"/>
    </row>
    <row r="22" spans="1:79">
      <c r="A22" s="770">
        <f>+A18+1</f>
        <v>12</v>
      </c>
      <c r="B22" s="771" t="s">
        <v>780</v>
      </c>
      <c r="C22" s="508">
        <f>+SUMIF('13.mell_ÖNKfeladatok2019'!$B$5:$B$159,'14.mell_Önk kiegészítés2019'!$A22,'13.mell_ÖNKfeladatok2019'!O$5:O$159)</f>
        <v>0</v>
      </c>
      <c r="D22" s="508">
        <f>+SUMIF('13.mell_ÖNKfeladatok2019'!$B$5:$B$159,'14.mell_Önk kiegészítés2019'!$A22,'13.mell_ÖNKfeladatok2019'!S$5:S$159)</f>
        <v>0</v>
      </c>
      <c r="E22" s="508">
        <f>+SUMIF('13.mell_ÖNKfeladatok2019'!$B$5:$B$159,'14.mell_Önk kiegészítés2019'!$A22,'13.mell_ÖNKfeladatok2019'!W$5:W$159)</f>
        <v>0</v>
      </c>
      <c r="F22" s="508">
        <f>+SUMIF('13.mell_ÖNKfeladatok2019'!$B$5:$B$159,'14.mell_Önk kiegészítés2019'!$A22,'13.mell_ÖNKfeladatok2019'!AA$5:AA$159)</f>
        <v>0</v>
      </c>
      <c r="G22" s="508">
        <f>+SUMIF('13.mell_ÖNKfeladatok2019'!$B$5:$B$159,'14.mell_Önk kiegészítés2019'!$A22,'13.mell_ÖNKfeladatok2019'!AI$5:AI$159)</f>
        <v>0</v>
      </c>
      <c r="H22" s="508">
        <f>+SUMIF('13.mell_ÖNKfeladatok2019'!$B$5:$B$159,'14.mell_Önk kiegészítés2019'!$A22,'13.mell_ÖNKfeladatok2019'!AM$5:AM$159)</f>
        <v>0</v>
      </c>
      <c r="I22" s="508">
        <f>+SUMIF('13.mell_ÖNKfeladatok2019'!$B$5:$B$159,'14.mell_Önk kiegészítés2019'!$A22,'13.mell_ÖNKfeladatok2019'!AQ$5:AQ$159)</f>
        <v>0</v>
      </c>
      <c r="J22" s="533">
        <f>SUM(C22:I22)</f>
        <v>0</v>
      </c>
      <c r="K22" s="491">
        <f>+SUMIF('13.mell_ÖNKfeladatok2019'!$B$167:$B$321,'14.mell_Önk kiegészítés2019'!$A22,'13.mell_ÖNKfeladatok2019'!O$167:O$321)</f>
        <v>161113</v>
      </c>
      <c r="L22" s="491">
        <f>+SUMIF('13.mell_ÖNKfeladatok2019'!$B$167:$B$321,'14.mell_Önk kiegészítés2019'!$A22,'13.mell_ÖNKfeladatok2019'!S$167:S$321)</f>
        <v>32843</v>
      </c>
      <c r="M22" s="491">
        <f>+SUMIF('13.mell_ÖNKfeladatok2019'!$B$167:$B$321,'14.mell_Önk kiegészítés2019'!$A22,'13.mell_ÖNKfeladatok2019'!W$167:W$321)</f>
        <v>23747</v>
      </c>
      <c r="N22" s="491">
        <f>+SUMIF('13.mell_ÖNKfeladatok2019'!$B$167:$B$321,'14.mell_Önk kiegészítés2019'!$A22,'13.mell_ÖNKfeladatok2019'!AA$167:AA$321)</f>
        <v>0</v>
      </c>
      <c r="O22" s="491">
        <f>+SUMIF('13.mell_ÖNKfeladatok2019'!$B$167:$B$321,'14.mell_Önk kiegészítés2019'!$A22,'13.mell_ÖNKfeladatok2019'!AE$167:AE$321)</f>
        <v>0</v>
      </c>
      <c r="P22" s="491">
        <f>+SUMIF('13.mell_ÖNKfeladatok2019'!$B$167:$B$321,'14.mell_Önk kiegészítés2019'!$A22,'13.mell_ÖNKfeladatok2019'!AM$167:AM$321)</f>
        <v>0</v>
      </c>
      <c r="Q22" s="491">
        <f>+SUMIF('13.mell_ÖNKfeladatok2019'!$B$167:$B$321,'14.mell_Önk kiegészítés2019'!$A22,'13.mell_ÖNKfeladatok2019'!AQ$167:AQ$321)</f>
        <v>0</v>
      </c>
      <c r="R22" s="491">
        <f>+SUMIF('13.mell_ÖNKfeladatok2019'!$B$167:$B$321,'14.mell_Önk kiegészítés2019'!$A22,'13.mell_ÖNKfeladatok2019'!AU$167:AU$321)</f>
        <v>0</v>
      </c>
      <c r="S22" s="533">
        <f>SUM(K22:R22)</f>
        <v>217703</v>
      </c>
      <c r="T22" s="492">
        <f>S22-J22</f>
        <v>217703</v>
      </c>
      <c r="U22" s="1079">
        <f>+ROUND(SUMIF('10.mell_támogatások2019'!$B$6:$B$137,'14.mell_Önk kiegészítés2019'!$A22,'10.mell_támogatások2019'!D$6:D$137)/1000,0)+18757</f>
        <v>164722</v>
      </c>
      <c r="V22" s="493">
        <f>+T22-U22</f>
        <v>52981</v>
      </c>
      <c r="W22" s="486"/>
      <c r="AB22" s="226"/>
      <c r="AC22" s="226"/>
      <c r="AD22" s="226"/>
      <c r="AE22" s="226"/>
      <c r="AH22" s="226">
        <f>17267+1490</f>
        <v>18757</v>
      </c>
      <c r="BL22" s="226"/>
      <c r="BM22" s="226"/>
      <c r="BN22" s="226"/>
      <c r="BO22" s="226"/>
      <c r="BX22" s="226"/>
      <c r="BY22" s="226"/>
      <c r="BZ22" s="226"/>
      <c r="CA22" s="226"/>
    </row>
    <row r="23" spans="1:79">
      <c r="A23" s="735">
        <f>+A22+1</f>
        <v>13</v>
      </c>
      <c r="B23" s="494" t="s">
        <v>781</v>
      </c>
      <c r="C23" s="499">
        <f>+SUMIF('13.mell_ÖNKfeladatok2019'!$B$5:$B$159,'14.mell_Önk kiegészítés2019'!$A23,'13.mell_ÖNKfeladatok2019'!O$5:O$159)</f>
        <v>0</v>
      </c>
      <c r="D23" s="499">
        <f>+SUMIF('13.mell_ÖNKfeladatok2019'!$B$5:$B$159,'14.mell_Önk kiegészítés2019'!$A23,'13.mell_ÖNKfeladatok2019'!S$5:S$159)</f>
        <v>0</v>
      </c>
      <c r="E23" s="499">
        <f>+SUMIF('13.mell_ÖNKfeladatok2019'!$B$5:$B$159,'14.mell_Önk kiegészítés2019'!$A23,'13.mell_ÖNKfeladatok2019'!W$5:W$159)</f>
        <v>0</v>
      </c>
      <c r="F23" s="499">
        <f>+SUMIF('13.mell_ÖNKfeladatok2019'!$B$5:$B$159,'14.mell_Önk kiegészítés2019'!$A23,'13.mell_ÖNKfeladatok2019'!AA$5:AA$159)</f>
        <v>0</v>
      </c>
      <c r="G23" s="499">
        <f>+SUMIF('13.mell_ÖNKfeladatok2019'!$B$5:$B$159,'14.mell_Önk kiegészítés2019'!$A23,'13.mell_ÖNKfeladatok2019'!AI$5:AI$159)</f>
        <v>0</v>
      </c>
      <c r="H23" s="499">
        <f>+SUMIF('13.mell_ÖNKfeladatok2019'!$B$5:$B$159,'14.mell_Önk kiegészítés2019'!$A23,'13.mell_ÖNKfeladatok2019'!AM$5:AM$159)</f>
        <v>0</v>
      </c>
      <c r="I23" s="499">
        <f>+SUMIF('13.mell_ÖNKfeladatok2019'!$B$5:$B$159,'14.mell_Önk kiegészítés2019'!$A23,'13.mell_ÖNKfeladatok2019'!AQ$5:AQ$159)</f>
        <v>0</v>
      </c>
      <c r="J23" s="534">
        <f>SUM(C23:I23)</f>
        <v>0</v>
      </c>
      <c r="K23" s="495">
        <f>+SUMIF('13.mell_ÖNKfeladatok2019'!$B$167:$B$321,'14.mell_Önk kiegészítés2019'!$A23,'13.mell_ÖNKfeladatok2019'!O$167:O$321)</f>
        <v>0</v>
      </c>
      <c r="L23" s="495">
        <f>+SUMIF('13.mell_ÖNKfeladatok2019'!$B$167:$B$321,'14.mell_Önk kiegészítés2019'!$A23,'13.mell_ÖNKfeladatok2019'!S$167:S$321)</f>
        <v>0</v>
      </c>
      <c r="M23" s="495">
        <f>+SUMIF('13.mell_ÖNKfeladatok2019'!$B$167:$B$321,'14.mell_Önk kiegészítés2019'!$A23,'13.mell_ÖNKfeladatok2019'!W$167:W$321)</f>
        <v>0</v>
      </c>
      <c r="N23" s="495">
        <f>+SUMIF('13.mell_ÖNKfeladatok2019'!$B$167:$B$321,'14.mell_Önk kiegészítés2019'!$A23,'13.mell_ÖNKfeladatok2019'!AA$167:AA$321)</f>
        <v>0</v>
      </c>
      <c r="O23" s="495">
        <f>+SUMIF('13.mell_ÖNKfeladatok2019'!$B$167:$B$321,'14.mell_Önk kiegészítés2019'!$A23,'13.mell_ÖNKfeladatok2019'!AE$167:AE$321)</f>
        <v>0</v>
      </c>
      <c r="P23" s="495">
        <f>+SUMIF('13.mell_ÖNKfeladatok2019'!$B$167:$B$321,'14.mell_Önk kiegészítés2019'!$A23,'13.mell_ÖNKfeladatok2019'!AM$167:AM$321)</f>
        <v>0</v>
      </c>
      <c r="Q23" s="495">
        <f>+SUMIF('13.mell_ÖNKfeladatok2019'!$B$167:$B$321,'14.mell_Önk kiegészítés2019'!$A23,'13.mell_ÖNKfeladatok2019'!AQ$167:AQ$321)</f>
        <v>0</v>
      </c>
      <c r="R23" s="495">
        <f>+SUMIF('13.mell_ÖNKfeladatok2019'!$B$167:$B$321,'14.mell_Önk kiegészítés2019'!$A23,'13.mell_ÖNKfeladatok2019'!AU$167:AU$321)</f>
        <v>0</v>
      </c>
      <c r="S23" s="534">
        <f>SUM(K23:R23)</f>
        <v>0</v>
      </c>
      <c r="T23" s="496">
        <f>S23-J23</f>
        <v>0</v>
      </c>
      <c r="U23" s="1080">
        <f>+ROUND(SUMIF('10.mell_támogatások2019'!$B$6:$B$137,'14.mell_Önk kiegészítés2019'!$A23,'10.mell_támogatások2019'!D$6:D$137)/1000,0)</f>
        <v>0</v>
      </c>
      <c r="V23" s="497">
        <f>+T23-U23</f>
        <v>0</v>
      </c>
      <c r="W23" s="486"/>
      <c r="AB23" s="226"/>
      <c r="AC23" s="226"/>
      <c r="AD23" s="226"/>
      <c r="AE23" s="226"/>
      <c r="BL23" s="226"/>
      <c r="BM23" s="226"/>
      <c r="BN23" s="226"/>
      <c r="BO23" s="226"/>
      <c r="BX23" s="226"/>
      <c r="BY23" s="226"/>
      <c r="BZ23" s="226"/>
      <c r="CA23" s="226"/>
    </row>
    <row r="24" spans="1:79" ht="12.75" thickBot="1">
      <c r="A24" s="735">
        <f>+A23+1</f>
        <v>14</v>
      </c>
      <c r="B24" s="498" t="s">
        <v>766</v>
      </c>
      <c r="C24" s="499">
        <f>+SUMIF('13.mell_ÖNKfeladatok2019'!$B$5:$B$159,'14.mell_Önk kiegészítés2019'!$A24,'13.mell_ÖNKfeladatok2019'!O$5:O$159)</f>
        <v>0</v>
      </c>
      <c r="D24" s="499">
        <f>+SUMIF('13.mell_ÖNKfeladatok2019'!$B$5:$B$159,'14.mell_Önk kiegészítés2019'!$A24,'13.mell_ÖNKfeladatok2019'!S$5:S$159)</f>
        <v>0</v>
      </c>
      <c r="E24" s="499">
        <f>+SUMIF('13.mell_ÖNKfeladatok2019'!$B$5:$B$159,'14.mell_Önk kiegészítés2019'!$A24,'13.mell_ÖNKfeladatok2019'!W$5:W$159)</f>
        <v>9674</v>
      </c>
      <c r="F24" s="499">
        <f>+SUMIF('13.mell_ÖNKfeladatok2019'!$B$5:$B$159,'14.mell_Önk kiegészítés2019'!$A24,'13.mell_ÖNKfeladatok2019'!AA$5:AA$159)</f>
        <v>0</v>
      </c>
      <c r="G24" s="499">
        <f>+SUMIF('13.mell_ÖNKfeladatok2019'!$B$5:$B$159,'14.mell_Önk kiegészítés2019'!$A24,'13.mell_ÖNKfeladatok2019'!AI$5:AI$159)</f>
        <v>0</v>
      </c>
      <c r="H24" s="499">
        <f>+SUMIF('13.mell_ÖNKfeladatok2019'!$B$5:$B$159,'14.mell_Önk kiegészítés2019'!$A24,'13.mell_ÖNKfeladatok2019'!AM$5:AM$159)</f>
        <v>0</v>
      </c>
      <c r="I24" s="499">
        <f>+SUMIF('13.mell_ÖNKfeladatok2019'!$B$5:$B$159,'14.mell_Önk kiegészítés2019'!$A24,'13.mell_ÖNKfeladatok2019'!AQ$5:AQ$159)</f>
        <v>0</v>
      </c>
      <c r="J24" s="534">
        <f>SUM(C24:I24)</f>
        <v>9674</v>
      </c>
      <c r="K24" s="495">
        <f>+SUMIF('13.mell_ÖNKfeladatok2019'!$B$167:$B$321,'14.mell_Önk kiegészítés2019'!$A24,'13.mell_ÖNKfeladatok2019'!O$167:O$321)</f>
        <v>97072</v>
      </c>
      <c r="L24" s="495">
        <f>+SUMIF('13.mell_ÖNKfeladatok2019'!$B$167:$B$321,'14.mell_Önk kiegészítés2019'!$A24,'13.mell_ÖNKfeladatok2019'!S$167:S$321)</f>
        <v>19239</v>
      </c>
      <c r="M24" s="495">
        <f>+SUMIF('13.mell_ÖNKfeladatok2019'!$B$167:$B$321,'14.mell_Önk kiegészítés2019'!$A24,'13.mell_ÖNKfeladatok2019'!W$167:W$321)</f>
        <v>13256</v>
      </c>
      <c r="N24" s="495">
        <f>+SUMIF('13.mell_ÖNKfeladatok2019'!$B$167:$B$321,'14.mell_Önk kiegészítés2019'!$A24,'13.mell_ÖNKfeladatok2019'!AA$167:AA$321)</f>
        <v>0</v>
      </c>
      <c r="O24" s="495">
        <f>+SUMIF('13.mell_ÖNKfeladatok2019'!$B$167:$B$321,'14.mell_Önk kiegészítés2019'!$A24,'13.mell_ÖNKfeladatok2019'!AE$167:AE$321)</f>
        <v>0</v>
      </c>
      <c r="P24" s="495">
        <f>+SUMIF('13.mell_ÖNKfeladatok2019'!$B$167:$B$321,'14.mell_Önk kiegészítés2019'!$A24,'13.mell_ÖNKfeladatok2019'!AM$167:AM$321)</f>
        <v>0</v>
      </c>
      <c r="Q24" s="495">
        <f>+SUMIF('13.mell_ÖNKfeladatok2019'!$B$167:$B$321,'14.mell_Önk kiegészítés2019'!$A24,'13.mell_ÖNKfeladatok2019'!AQ$167:AQ$321)</f>
        <v>0</v>
      </c>
      <c r="R24" s="495">
        <f>+SUMIF('13.mell_ÖNKfeladatok2019'!$B$167:$B$321,'14.mell_Önk kiegészítés2019'!$A24,'13.mell_ÖNKfeladatok2019'!AU$167:AU$321)</f>
        <v>0</v>
      </c>
      <c r="S24" s="534">
        <f>SUM(K24:R24)</f>
        <v>129567</v>
      </c>
      <c r="T24" s="496">
        <f>S24-J24</f>
        <v>119893</v>
      </c>
      <c r="U24" s="1080">
        <f>+ROUND(SUMIF('10.mell_támogatások2019'!$B$6:$B$137,'14.mell_Önk kiegészítés2019'!$A24,'10.mell_támogatások2019'!D$6:D$137)/1000,0)</f>
        <v>0</v>
      </c>
      <c r="V24" s="497">
        <f>+T24-U24</f>
        <v>119893</v>
      </c>
      <c r="W24" s="486"/>
      <c r="AB24" s="226"/>
      <c r="AC24" s="226"/>
      <c r="AD24" s="226"/>
      <c r="AE24" s="226"/>
      <c r="BL24" s="226"/>
      <c r="BM24" s="226"/>
      <c r="BN24" s="226"/>
      <c r="BO24" s="226"/>
      <c r="BX24" s="226"/>
      <c r="BY24" s="226"/>
      <c r="BZ24" s="226"/>
      <c r="CA24" s="226"/>
    </row>
    <row r="25" spans="1:79" s="486" customFormat="1" ht="12.75" thickBot="1">
      <c r="A25" s="500" t="s">
        <v>599</v>
      </c>
      <c r="B25" s="501" t="s">
        <v>873</v>
      </c>
      <c r="C25" s="502">
        <f t="shared" ref="C25" si="12">SUM(C22:C24)</f>
        <v>0</v>
      </c>
      <c r="D25" s="503">
        <f t="shared" ref="D25:V25" si="13">SUM(D22:D24)</f>
        <v>0</v>
      </c>
      <c r="E25" s="503">
        <f t="shared" si="13"/>
        <v>9674</v>
      </c>
      <c r="F25" s="503">
        <f t="shared" si="13"/>
        <v>0</v>
      </c>
      <c r="G25" s="503">
        <f t="shared" si="13"/>
        <v>0</v>
      </c>
      <c r="H25" s="503">
        <f t="shared" si="13"/>
        <v>0</v>
      </c>
      <c r="I25" s="504">
        <f t="shared" si="13"/>
        <v>0</v>
      </c>
      <c r="J25" s="505">
        <f t="shared" si="13"/>
        <v>9674</v>
      </c>
      <c r="K25" s="502">
        <f t="shared" si="13"/>
        <v>258185</v>
      </c>
      <c r="L25" s="502">
        <f t="shared" si="13"/>
        <v>52082</v>
      </c>
      <c r="M25" s="502">
        <f t="shared" si="13"/>
        <v>37003</v>
      </c>
      <c r="N25" s="502">
        <f t="shared" si="13"/>
        <v>0</v>
      </c>
      <c r="O25" s="502">
        <f t="shared" si="13"/>
        <v>0</v>
      </c>
      <c r="P25" s="502">
        <f t="shared" si="13"/>
        <v>0</v>
      </c>
      <c r="Q25" s="502">
        <f t="shared" si="13"/>
        <v>0</v>
      </c>
      <c r="R25" s="502">
        <f t="shared" si="13"/>
        <v>0</v>
      </c>
      <c r="S25" s="505">
        <f t="shared" si="13"/>
        <v>347270</v>
      </c>
      <c r="T25" s="502">
        <f t="shared" si="13"/>
        <v>337596</v>
      </c>
      <c r="U25" s="506">
        <f t="shared" si="13"/>
        <v>164722</v>
      </c>
      <c r="V25" s="505">
        <f t="shared" si="13"/>
        <v>172874</v>
      </c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26"/>
      <c r="AM25" s="226"/>
      <c r="AN25" s="226"/>
      <c r="AO25" s="226"/>
    </row>
    <row r="26" spans="1:79">
      <c r="A26" s="735">
        <f>+A24+1</f>
        <v>15</v>
      </c>
      <c r="B26" s="519" t="s">
        <v>417</v>
      </c>
      <c r="C26" s="491">
        <f>+SUMIF('13.mell_ÖNKfeladatok2019'!$B$5:$B$159,'14.mell_Önk kiegészítés2019'!$A26,'13.mell_ÖNKfeladatok2019'!O$5:O$159)</f>
        <v>0</v>
      </c>
      <c r="D26" s="491">
        <f>+SUMIF('13.mell_ÖNKfeladatok2019'!$B$5:$B$159,'14.mell_Önk kiegészítés2019'!$A26,'13.mell_ÖNKfeladatok2019'!S$5:S$159)</f>
        <v>0</v>
      </c>
      <c r="E26" s="491">
        <f>+SUMIF('13.mell_ÖNKfeladatok2019'!$B$5:$B$159,'14.mell_Önk kiegészítés2019'!$A26,'13.mell_ÖNKfeladatok2019'!W$5:W$159)</f>
        <v>28850</v>
      </c>
      <c r="F26" s="491">
        <f>+SUMIF('13.mell_ÖNKfeladatok2019'!$B$5:$B$159,'14.mell_Önk kiegészítés2019'!$A26,'13.mell_ÖNKfeladatok2019'!AA$5:AA$159)</f>
        <v>0</v>
      </c>
      <c r="G26" s="491">
        <f>+SUMIF('13.mell_ÖNKfeladatok2019'!$B$5:$B$159,'14.mell_Önk kiegészítés2019'!$A26,'13.mell_ÖNKfeladatok2019'!AI$5:AI$159)</f>
        <v>0</v>
      </c>
      <c r="H26" s="491">
        <f>+SUMIF('13.mell_ÖNKfeladatok2019'!$B$5:$B$159,'14.mell_Önk kiegészítés2019'!$A26,'13.mell_ÖNKfeladatok2019'!AM$5:AM$159)</f>
        <v>0</v>
      </c>
      <c r="I26" s="491">
        <f>+SUMIF('13.mell_ÖNKfeladatok2019'!$B$5:$B$159,'14.mell_Önk kiegészítés2019'!$A26,'13.mell_ÖNKfeladatok2019'!AQ$5:AQ$159)</f>
        <v>0</v>
      </c>
      <c r="J26" s="534">
        <f>SUM(C26:I26)</f>
        <v>28850</v>
      </c>
      <c r="K26" s="495">
        <f>+SUMIF('13.mell_ÖNKfeladatok2019'!$B$167:$B$321,'14.mell_Önk kiegészítés2019'!$A26,'13.mell_ÖNKfeladatok2019'!O$167:O$321)</f>
        <v>7922</v>
      </c>
      <c r="L26" s="495">
        <f>+SUMIF('13.mell_ÖNKfeladatok2019'!$B$167:$B$321,'14.mell_Önk kiegészítés2019'!$A26,'13.mell_ÖNKfeladatok2019'!S$167:S$321)</f>
        <v>1573</v>
      </c>
      <c r="M26" s="495">
        <f>+SUMIF('13.mell_ÖNKfeladatok2019'!$B$167:$B$321,'14.mell_Önk kiegészítés2019'!$A26,'13.mell_ÖNKfeladatok2019'!W$167:W$321)</f>
        <v>20680</v>
      </c>
      <c r="N26" s="495">
        <f>+SUMIF('13.mell_ÖNKfeladatok2019'!$B$167:$B$321,'14.mell_Önk kiegészítés2019'!$A26,'13.mell_ÖNKfeladatok2019'!AA$167:AA$321)</f>
        <v>0</v>
      </c>
      <c r="O26" s="495">
        <f>+SUMIF('13.mell_ÖNKfeladatok2019'!$B$167:$B$321,'14.mell_Önk kiegészítés2019'!$A26,'13.mell_ÖNKfeladatok2019'!AE$167:AE$321)</f>
        <v>0</v>
      </c>
      <c r="P26" s="495">
        <f>+SUMIF('13.mell_ÖNKfeladatok2019'!$B$167:$B$321,'14.mell_Önk kiegészítés2019'!$A26,'13.mell_ÖNKfeladatok2019'!AM$167:AM$321)</f>
        <v>0</v>
      </c>
      <c r="Q26" s="495">
        <f>+SUMIF('13.mell_ÖNKfeladatok2019'!$B$167:$B$321,'14.mell_Önk kiegészítés2019'!$A26,'13.mell_ÖNKfeladatok2019'!AQ$167:AQ$321)</f>
        <v>0</v>
      </c>
      <c r="R26" s="495">
        <f>+SUMIF('13.mell_ÖNKfeladatok2019'!$B$167:$B$321,'14.mell_Önk kiegészítés2019'!$A26,'13.mell_ÖNKfeladatok2019'!AU$167:AU$321)</f>
        <v>0</v>
      </c>
      <c r="S26" s="534">
        <f>SUM(K26:R26)</f>
        <v>30175</v>
      </c>
      <c r="T26" s="496">
        <f>S26-J26</f>
        <v>1325</v>
      </c>
      <c r="U26" s="1080">
        <f>+ROUND(SUMIF('10.mell_támogatások2019'!$B$6:$B$137,'14.mell_Önk kiegészítés2019'!$A26,'10.mell_támogatások2019'!D$6:D$137)/1000,0)</f>
        <v>0</v>
      </c>
      <c r="V26" s="497">
        <f>+T26-U26</f>
        <v>1325</v>
      </c>
      <c r="W26" s="486"/>
      <c r="AB26" s="226"/>
      <c r="AC26" s="226"/>
      <c r="AD26" s="226"/>
      <c r="AE26" s="226"/>
      <c r="BL26" s="226"/>
      <c r="BM26" s="226"/>
      <c r="BN26" s="226"/>
      <c r="BO26" s="226"/>
      <c r="BX26" s="226"/>
      <c r="BY26" s="226"/>
      <c r="BZ26" s="226"/>
      <c r="CA26" s="226"/>
    </row>
    <row r="27" spans="1:79">
      <c r="A27" s="735">
        <f>+A26+1</f>
        <v>16</v>
      </c>
      <c r="B27" s="498" t="s">
        <v>656</v>
      </c>
      <c r="C27" s="499">
        <f>+SUMIF('13.mell_ÖNKfeladatok2019'!$B$5:$B$159,'14.mell_Önk kiegészítés2019'!$A27,'13.mell_ÖNKfeladatok2019'!O$5:O$159)</f>
        <v>0</v>
      </c>
      <c r="D27" s="499">
        <f>+SUMIF('13.mell_ÖNKfeladatok2019'!$B$5:$B$159,'14.mell_Önk kiegészítés2019'!$A27,'13.mell_ÖNKfeladatok2019'!S$5:S$159)</f>
        <v>0</v>
      </c>
      <c r="E27" s="499">
        <f>+SUMIF('13.mell_ÖNKfeladatok2019'!$B$5:$B$159,'14.mell_Önk kiegészítés2019'!$A27,'13.mell_ÖNKfeladatok2019'!W$5:W$159)</f>
        <v>0</v>
      </c>
      <c r="F27" s="499">
        <f>+SUMIF('13.mell_ÖNKfeladatok2019'!$B$5:$B$159,'14.mell_Önk kiegészítés2019'!$A27,'13.mell_ÖNKfeladatok2019'!AA$5:AA$159)</f>
        <v>0</v>
      </c>
      <c r="G27" s="499">
        <f>+SUMIF('13.mell_ÖNKfeladatok2019'!$B$5:$B$159,'14.mell_Önk kiegészítés2019'!$A27,'13.mell_ÖNKfeladatok2019'!AI$5:AI$159)</f>
        <v>0</v>
      </c>
      <c r="H27" s="499">
        <f>+SUMIF('13.mell_ÖNKfeladatok2019'!$B$5:$B$159,'14.mell_Önk kiegészítés2019'!$A27,'13.mell_ÖNKfeladatok2019'!AM$5:AM$159)</f>
        <v>0</v>
      </c>
      <c r="I27" s="499">
        <f>+SUMIF('13.mell_ÖNKfeladatok2019'!$B$5:$B$159,'14.mell_Önk kiegészítés2019'!$A27,'13.mell_ÖNKfeladatok2019'!AQ$5:AQ$159)</f>
        <v>0</v>
      </c>
      <c r="J27" s="535">
        <f>SUM(C27:I27)</f>
        <v>0</v>
      </c>
      <c r="K27" s="495">
        <f>+SUMIF('13.mell_ÖNKfeladatok2019'!$B$167:$B$321,'14.mell_Önk kiegészítés2019'!$A27,'13.mell_ÖNKfeladatok2019'!O$167:O$321)</f>
        <v>6326</v>
      </c>
      <c r="L27" s="495">
        <f>+SUMIF('13.mell_ÖNKfeladatok2019'!$B$167:$B$321,'14.mell_Önk kiegészítés2019'!$A27,'13.mell_ÖNKfeladatok2019'!S$167:S$321)</f>
        <v>1156</v>
      </c>
      <c r="M27" s="495">
        <f>+SUMIF('13.mell_ÖNKfeladatok2019'!$B$167:$B$321,'14.mell_Önk kiegészítés2019'!$A27,'13.mell_ÖNKfeladatok2019'!W$167:W$321)</f>
        <v>381</v>
      </c>
      <c r="N27" s="495">
        <f>+SUMIF('13.mell_ÖNKfeladatok2019'!$B$167:$B$321,'14.mell_Önk kiegészítés2019'!$A27,'13.mell_ÖNKfeladatok2019'!AA$167:AA$321)</f>
        <v>0</v>
      </c>
      <c r="O27" s="495">
        <f>+SUMIF('13.mell_ÖNKfeladatok2019'!$B$167:$B$321,'14.mell_Önk kiegészítés2019'!$A27,'13.mell_ÖNKfeladatok2019'!AE$167:AE$321)</f>
        <v>0</v>
      </c>
      <c r="P27" s="495">
        <f>+SUMIF('13.mell_ÖNKfeladatok2019'!$B$167:$B$321,'14.mell_Önk kiegészítés2019'!$A27,'13.mell_ÖNKfeladatok2019'!AM$167:AM$321)</f>
        <v>0</v>
      </c>
      <c r="Q27" s="495">
        <f>+SUMIF('13.mell_ÖNKfeladatok2019'!$B$167:$B$321,'14.mell_Önk kiegészítés2019'!$A27,'13.mell_ÖNKfeladatok2019'!AQ$167:AQ$321)</f>
        <v>0</v>
      </c>
      <c r="R27" s="495">
        <f>+SUMIF('13.mell_ÖNKfeladatok2019'!$B$167:$B$321,'14.mell_Önk kiegészítés2019'!$A27,'13.mell_ÖNKfeladatok2019'!AU$167:AU$321)</f>
        <v>0</v>
      </c>
      <c r="S27" s="534">
        <f>SUM(K27:R27)</f>
        <v>7863</v>
      </c>
      <c r="T27" s="496">
        <f>S27-J27</f>
        <v>7863</v>
      </c>
      <c r="U27" s="1080">
        <f>+ROUND(SUMIF('10.mell_támogatások2019'!$B$6:$B$137,'14.mell_Önk kiegészítés2019'!$A27,'10.mell_támogatások2019'!D$6:D$137)/1000,0)</f>
        <v>0</v>
      </c>
      <c r="V27" s="497">
        <f>+T27-U27</f>
        <v>7863</v>
      </c>
      <c r="W27" s="486"/>
      <c r="AB27" s="226"/>
      <c r="AC27" s="226"/>
      <c r="AD27" s="226"/>
      <c r="AE27" s="226"/>
      <c r="BL27" s="226"/>
      <c r="BM27" s="226"/>
      <c r="BN27" s="226"/>
      <c r="BO27" s="226"/>
      <c r="BX27" s="226"/>
      <c r="BY27" s="226"/>
      <c r="BZ27" s="226"/>
      <c r="CA27" s="226"/>
    </row>
    <row r="28" spans="1:79" ht="12.75" thickBot="1">
      <c r="A28" s="735">
        <f>+A27+1</f>
        <v>17</v>
      </c>
      <c r="B28" s="498" t="s">
        <v>898</v>
      </c>
      <c r="C28" s="499">
        <f>+SUMIF('13.mell_ÖNKfeladatok2019'!$B$5:$B$159,'14.mell_Önk kiegészítés2019'!$A28,'13.mell_ÖNKfeladatok2019'!O$5:O$159)</f>
        <v>0</v>
      </c>
      <c r="D28" s="499">
        <f>+SUMIF('13.mell_ÖNKfeladatok2019'!$B$5:$B$159,'14.mell_Önk kiegészítés2019'!$A28,'13.mell_ÖNKfeladatok2019'!S$5:S$159)</f>
        <v>0</v>
      </c>
      <c r="E28" s="499">
        <f>+SUMIF('13.mell_ÖNKfeladatok2019'!$B$5:$B$159,'14.mell_Önk kiegészítés2019'!$A28,'13.mell_ÖNKfeladatok2019'!W$5:W$159)</f>
        <v>0</v>
      </c>
      <c r="F28" s="499">
        <f>+SUMIF('13.mell_ÖNKfeladatok2019'!$B$5:$B$159,'14.mell_Önk kiegészítés2019'!$A28,'13.mell_ÖNKfeladatok2019'!AA$5:AA$159)</f>
        <v>0</v>
      </c>
      <c r="G28" s="499">
        <f>+SUMIF('13.mell_ÖNKfeladatok2019'!$B$5:$B$159,'14.mell_Önk kiegészítés2019'!$A28,'13.mell_ÖNKfeladatok2019'!AI$5:AI$159)</f>
        <v>0</v>
      </c>
      <c r="H28" s="499">
        <f>+SUMIF('13.mell_ÖNKfeladatok2019'!$B$5:$B$159,'14.mell_Önk kiegészítés2019'!$A28,'13.mell_ÖNKfeladatok2019'!AM$5:AM$159)</f>
        <v>0</v>
      </c>
      <c r="I28" s="499">
        <f>+SUMIF('13.mell_ÖNKfeladatok2019'!$B$5:$B$159,'14.mell_Önk kiegészítés2019'!$A28,'13.mell_ÖNKfeladatok2019'!AQ$5:AQ$159)</f>
        <v>0</v>
      </c>
      <c r="J28" s="535">
        <f>SUM(C28:I28)</f>
        <v>0</v>
      </c>
      <c r="K28" s="495">
        <f>+SUMIF('13.mell_ÖNKfeladatok2019'!$B$167:$B$321,'14.mell_Önk kiegészítés2019'!$A28,'13.mell_ÖNKfeladatok2019'!O$167:O$321)</f>
        <v>0</v>
      </c>
      <c r="L28" s="495">
        <f>+SUMIF('13.mell_ÖNKfeladatok2019'!$B$167:$B$321,'14.mell_Önk kiegészítés2019'!$A28,'13.mell_ÖNKfeladatok2019'!S$167:S$321)</f>
        <v>0</v>
      </c>
      <c r="M28" s="495">
        <f>+SUMIF('13.mell_ÖNKfeladatok2019'!$B$167:$B$321,'14.mell_Önk kiegészítés2019'!$A28,'13.mell_ÖNKfeladatok2019'!W$167:W$321)</f>
        <v>0</v>
      </c>
      <c r="N28" s="495">
        <f>+SUMIF('13.mell_ÖNKfeladatok2019'!$B$167:$B$321,'14.mell_Önk kiegészítés2019'!$A28,'13.mell_ÖNKfeladatok2019'!AA$167:AA$321)</f>
        <v>0</v>
      </c>
      <c r="O28" s="495">
        <f>+SUMIF('13.mell_ÖNKfeladatok2019'!$B$167:$B$321,'14.mell_Önk kiegészítés2019'!$A28,'13.mell_ÖNKfeladatok2019'!AE$167:AE$321)</f>
        <v>0</v>
      </c>
      <c r="P28" s="495">
        <f>+SUMIF('13.mell_ÖNKfeladatok2019'!$B$167:$B$321,'14.mell_Önk kiegészítés2019'!$A28,'13.mell_ÖNKfeladatok2019'!AM$167:AM$321)</f>
        <v>0</v>
      </c>
      <c r="Q28" s="495">
        <f>+SUMIF('13.mell_ÖNKfeladatok2019'!$B$167:$B$321,'14.mell_Önk kiegészítés2019'!$A28,'13.mell_ÖNKfeladatok2019'!AQ$167:AQ$321)</f>
        <v>0</v>
      </c>
      <c r="R28" s="495">
        <f>+SUMIF('13.mell_ÖNKfeladatok2019'!$B$167:$B$321,'14.mell_Önk kiegészítés2019'!$A28,'13.mell_ÖNKfeladatok2019'!AU$167:AU$321)</f>
        <v>0</v>
      </c>
      <c r="S28" s="534">
        <f>SUM(K28:R28)</f>
        <v>0</v>
      </c>
      <c r="T28" s="496">
        <f>S28-J28</f>
        <v>0</v>
      </c>
      <c r="U28" s="1080">
        <f>+ROUND(SUMIF('10.mell_támogatások2019'!$B$6:$B$137,'14.mell_Önk kiegészítés2019'!$A28,'10.mell_támogatások2019'!D$6:D$137)/1000,0)</f>
        <v>0</v>
      </c>
      <c r="V28" s="497">
        <f>+T28-U28</f>
        <v>0</v>
      </c>
      <c r="W28" s="486"/>
      <c r="AB28" s="226"/>
      <c r="AC28" s="226"/>
      <c r="AD28" s="226"/>
      <c r="AE28" s="226"/>
      <c r="BL28" s="226"/>
      <c r="BM28" s="226"/>
      <c r="BN28" s="226"/>
      <c r="BO28" s="226"/>
      <c r="BX28" s="226"/>
      <c r="BY28" s="226"/>
      <c r="BZ28" s="226"/>
      <c r="CA28" s="226"/>
    </row>
    <row r="29" spans="1:79" s="486" customFormat="1" ht="12.75" thickBot="1">
      <c r="A29" s="500" t="s">
        <v>641</v>
      </c>
      <c r="B29" s="501" t="s">
        <v>874</v>
      </c>
      <c r="C29" s="502">
        <f>SUM(C26:C28)</f>
        <v>0</v>
      </c>
      <c r="D29" s="503">
        <f t="shared" ref="D29" si="14">SUM(D26:D28)</f>
        <v>0</v>
      </c>
      <c r="E29" s="503">
        <f t="shared" ref="E29:V29" si="15">SUM(E26:E28)</f>
        <v>28850</v>
      </c>
      <c r="F29" s="503">
        <f t="shared" si="15"/>
        <v>0</v>
      </c>
      <c r="G29" s="503">
        <f t="shared" si="15"/>
        <v>0</v>
      </c>
      <c r="H29" s="503">
        <f t="shared" si="15"/>
        <v>0</v>
      </c>
      <c r="I29" s="506">
        <f t="shared" si="15"/>
        <v>0</v>
      </c>
      <c r="J29" s="505">
        <f t="shared" si="15"/>
        <v>28850</v>
      </c>
      <c r="K29" s="502">
        <f t="shared" si="15"/>
        <v>14248</v>
      </c>
      <c r="L29" s="502">
        <f t="shared" si="15"/>
        <v>2729</v>
      </c>
      <c r="M29" s="502">
        <f t="shared" si="15"/>
        <v>21061</v>
      </c>
      <c r="N29" s="502">
        <f t="shared" si="15"/>
        <v>0</v>
      </c>
      <c r="O29" s="502">
        <f t="shared" si="15"/>
        <v>0</v>
      </c>
      <c r="P29" s="502">
        <f t="shared" si="15"/>
        <v>0</v>
      </c>
      <c r="Q29" s="502">
        <f t="shared" si="15"/>
        <v>0</v>
      </c>
      <c r="R29" s="502">
        <f t="shared" si="15"/>
        <v>0</v>
      </c>
      <c r="S29" s="505">
        <f t="shared" si="15"/>
        <v>38038</v>
      </c>
      <c r="T29" s="502">
        <f t="shared" si="15"/>
        <v>9188</v>
      </c>
      <c r="U29" s="506">
        <f t="shared" si="15"/>
        <v>0</v>
      </c>
      <c r="V29" s="505">
        <f t="shared" si="15"/>
        <v>9188</v>
      </c>
      <c r="AA29" s="226"/>
      <c r="AB29" s="226"/>
      <c r="AC29" s="226"/>
      <c r="AD29" s="226"/>
      <c r="AE29" s="226"/>
      <c r="AF29" s="226"/>
      <c r="AG29" s="226"/>
      <c r="AH29" s="226"/>
      <c r="AI29" s="226"/>
      <c r="AJ29" s="226"/>
      <c r="AK29" s="226"/>
      <c r="AL29" s="226"/>
      <c r="AM29" s="226"/>
      <c r="AN29" s="226"/>
      <c r="AO29" s="226"/>
    </row>
    <row r="30" spans="1:79" ht="12.75" thickBot="1">
      <c r="A30" s="735">
        <f>+A28+1</f>
        <v>18</v>
      </c>
      <c r="B30" s="507" t="s">
        <v>875</v>
      </c>
      <c r="C30" s="508">
        <f>+SUMIF('13.mell_ÖNKfeladatok2019'!$B$5:$B$159,'14.mell_Önk kiegészítés2019'!$A30,'13.mell_ÖNKfeladatok2019'!O$5:O$159)</f>
        <v>0</v>
      </c>
      <c r="D30" s="508">
        <f>+SUMIF('13.mell_ÖNKfeladatok2019'!$B$5:$B$159,'14.mell_Önk kiegészítés2019'!$A30,'13.mell_ÖNKfeladatok2019'!S$5:S$159)</f>
        <v>0</v>
      </c>
      <c r="E30" s="508">
        <f>+SUMIF('13.mell_ÖNKfeladatok2019'!$B$5:$B$159,'14.mell_Önk kiegészítés2019'!$A30,'13.mell_ÖNKfeladatok2019'!W$5:W$159)</f>
        <v>0</v>
      </c>
      <c r="F30" s="508">
        <f>+SUMIF('13.mell_ÖNKfeladatok2019'!$B$5:$B$159,'14.mell_Önk kiegészítés2019'!$A30,'13.mell_ÖNKfeladatok2019'!AA$5:AA$159)</f>
        <v>0</v>
      </c>
      <c r="G30" s="508">
        <f>+SUMIF('13.mell_ÖNKfeladatok2019'!$B$5:$B$159,'14.mell_Önk kiegészítés2019'!$A30,'13.mell_ÖNKfeladatok2019'!AI$5:AI$159)</f>
        <v>0</v>
      </c>
      <c r="H30" s="508">
        <f>+SUMIF('13.mell_ÖNKfeladatok2019'!$B$5:$B$159,'14.mell_Önk kiegészítés2019'!$A30,'13.mell_ÖNKfeladatok2019'!AM$5:AM$159)</f>
        <v>0</v>
      </c>
      <c r="I30" s="508">
        <f>+SUMIF('13.mell_ÖNKfeladatok2019'!$B$5:$B$159,'14.mell_Önk kiegészítés2019'!$A30,'13.mell_ÖNKfeladatok2019'!AQ$5:AQ$159)</f>
        <v>0</v>
      </c>
      <c r="J30" s="536">
        <f>SUM(C30:I30)</f>
        <v>0</v>
      </c>
      <c r="K30" s="495">
        <f>+SUMIF('13.mell_ÖNKfeladatok2019'!$B$167:$B$321,'14.mell_Önk kiegészítés2019'!$A30,'13.mell_ÖNKfeladatok2019'!O$167:O$321)</f>
        <v>0</v>
      </c>
      <c r="L30" s="495">
        <f>+SUMIF('13.mell_ÖNKfeladatok2019'!$B$167:$B$321,'14.mell_Önk kiegészítés2019'!$A30,'13.mell_ÖNKfeladatok2019'!S$167:S$321)</f>
        <v>0</v>
      </c>
      <c r="M30" s="495">
        <f>+SUMIF('13.mell_ÖNKfeladatok2019'!$B$167:$B$321,'14.mell_Önk kiegészítés2019'!$A30,'13.mell_ÖNKfeladatok2019'!W$167:W$321)</f>
        <v>0</v>
      </c>
      <c r="N30" s="495">
        <f>+SUMIF('13.mell_ÖNKfeladatok2019'!$B$167:$B$321,'14.mell_Önk kiegészítés2019'!$A30,'13.mell_ÖNKfeladatok2019'!AA$167:AA$321)</f>
        <v>0</v>
      </c>
      <c r="O30" s="495">
        <f>+SUMIF('13.mell_ÖNKfeladatok2019'!$B$167:$B$321,'14.mell_Önk kiegészítés2019'!$A30,'13.mell_ÖNKfeladatok2019'!AE$167:AE$321)</f>
        <v>0</v>
      </c>
      <c r="P30" s="495">
        <f>+SUMIF('13.mell_ÖNKfeladatok2019'!$B$167:$B$321,'14.mell_Önk kiegészítés2019'!$A30,'13.mell_ÖNKfeladatok2019'!AM$167:AM$321)</f>
        <v>0</v>
      </c>
      <c r="Q30" s="495">
        <f>+SUMIF('13.mell_ÖNKfeladatok2019'!$B$167:$B$321,'14.mell_Önk kiegészítés2019'!$A30,'13.mell_ÖNKfeladatok2019'!AQ$167:AQ$321)</f>
        <v>0</v>
      </c>
      <c r="R30" s="495">
        <f>+SUMIF('13.mell_ÖNKfeladatok2019'!$B$167:$B$321,'14.mell_Önk kiegészítés2019'!$A30,'13.mell_ÖNKfeladatok2019'!AU$167:AU$321)</f>
        <v>0</v>
      </c>
      <c r="S30" s="534">
        <f>SUM(K30:R30)</f>
        <v>0</v>
      </c>
      <c r="T30" s="496">
        <f>S30-J30</f>
        <v>0</v>
      </c>
      <c r="U30" s="1080">
        <f>+ROUND(SUMIF('10.mell_támogatások2019'!$B$6:$B$137,'14.mell_Önk kiegészítés2019'!$A30,'10.mell_támogatások2019'!D$6:D$137)/1000,0)</f>
        <v>0</v>
      </c>
      <c r="V30" s="497">
        <f>+T30-U30</f>
        <v>0</v>
      </c>
      <c r="W30" s="486"/>
      <c r="AB30" s="226"/>
      <c r="AC30" s="226"/>
      <c r="AD30" s="226"/>
      <c r="AE30" s="226"/>
      <c r="BL30" s="226"/>
      <c r="BM30" s="226"/>
      <c r="BN30" s="226"/>
      <c r="BO30" s="226"/>
      <c r="BX30" s="226"/>
      <c r="BY30" s="226"/>
      <c r="BZ30" s="226"/>
      <c r="CA30" s="226"/>
    </row>
    <row r="31" spans="1:79" s="486" customFormat="1" ht="12.75" thickBot="1">
      <c r="A31" s="500" t="s">
        <v>753</v>
      </c>
      <c r="B31" s="501" t="s">
        <v>875</v>
      </c>
      <c r="C31" s="502">
        <f>SUM(C30)</f>
        <v>0</v>
      </c>
      <c r="D31" s="503">
        <f t="shared" ref="D31" si="16">SUM(D30)</f>
        <v>0</v>
      </c>
      <c r="E31" s="503">
        <f t="shared" ref="E31:V31" si="17">SUM(E30)</f>
        <v>0</v>
      </c>
      <c r="F31" s="503">
        <f t="shared" si="17"/>
        <v>0</v>
      </c>
      <c r="G31" s="503">
        <f t="shared" si="17"/>
        <v>0</v>
      </c>
      <c r="H31" s="503">
        <f t="shared" si="17"/>
        <v>0</v>
      </c>
      <c r="I31" s="506">
        <f t="shared" si="17"/>
        <v>0</v>
      </c>
      <c r="J31" s="505">
        <f t="shared" si="17"/>
        <v>0</v>
      </c>
      <c r="K31" s="502">
        <f t="shared" si="17"/>
        <v>0</v>
      </c>
      <c r="L31" s="502">
        <f t="shared" si="17"/>
        <v>0</v>
      </c>
      <c r="M31" s="502">
        <f t="shared" si="17"/>
        <v>0</v>
      </c>
      <c r="N31" s="502">
        <f t="shared" si="17"/>
        <v>0</v>
      </c>
      <c r="O31" s="502">
        <f t="shared" si="17"/>
        <v>0</v>
      </c>
      <c r="P31" s="502">
        <f t="shared" si="17"/>
        <v>0</v>
      </c>
      <c r="Q31" s="502">
        <f t="shared" si="17"/>
        <v>0</v>
      </c>
      <c r="R31" s="502">
        <f t="shared" si="17"/>
        <v>0</v>
      </c>
      <c r="S31" s="505">
        <f t="shared" si="17"/>
        <v>0</v>
      </c>
      <c r="T31" s="502">
        <f t="shared" si="17"/>
        <v>0</v>
      </c>
      <c r="U31" s="506">
        <f t="shared" si="17"/>
        <v>0</v>
      </c>
      <c r="V31" s="505">
        <f t="shared" si="17"/>
        <v>0</v>
      </c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  <c r="AK31" s="226"/>
      <c r="AL31" s="226"/>
      <c r="AM31" s="226"/>
      <c r="AN31" s="226"/>
      <c r="AO31" s="226"/>
    </row>
    <row r="32" spans="1:79" s="486" customFormat="1" ht="12.75" thickBot="1">
      <c r="A32" s="509" t="s">
        <v>22</v>
      </c>
      <c r="B32" s="510" t="s">
        <v>876</v>
      </c>
      <c r="C32" s="511">
        <f>+C25+C29+C31</f>
        <v>0</v>
      </c>
      <c r="D32" s="512">
        <f t="shared" ref="D32" si="18">+D25+D29+D31</f>
        <v>0</v>
      </c>
      <c r="E32" s="512">
        <f t="shared" ref="E32:V32" si="19">+E25+E29+E31</f>
        <v>38524</v>
      </c>
      <c r="F32" s="512">
        <f t="shared" si="19"/>
        <v>0</v>
      </c>
      <c r="G32" s="512">
        <f t="shared" si="19"/>
        <v>0</v>
      </c>
      <c r="H32" s="512">
        <f t="shared" si="19"/>
        <v>0</v>
      </c>
      <c r="I32" s="513">
        <f t="shared" si="19"/>
        <v>0</v>
      </c>
      <c r="J32" s="514">
        <f t="shared" si="19"/>
        <v>38524</v>
      </c>
      <c r="K32" s="511">
        <f t="shared" si="19"/>
        <v>272433</v>
      </c>
      <c r="L32" s="511">
        <f t="shared" si="19"/>
        <v>54811</v>
      </c>
      <c r="M32" s="511">
        <f t="shared" si="19"/>
        <v>58064</v>
      </c>
      <c r="N32" s="511">
        <f t="shared" si="19"/>
        <v>0</v>
      </c>
      <c r="O32" s="511">
        <f t="shared" si="19"/>
        <v>0</v>
      </c>
      <c r="P32" s="511">
        <f t="shared" si="19"/>
        <v>0</v>
      </c>
      <c r="Q32" s="511">
        <f t="shared" si="19"/>
        <v>0</v>
      </c>
      <c r="R32" s="511">
        <f t="shared" si="19"/>
        <v>0</v>
      </c>
      <c r="S32" s="514">
        <f t="shared" si="19"/>
        <v>385308</v>
      </c>
      <c r="T32" s="511">
        <f t="shared" si="19"/>
        <v>346784</v>
      </c>
      <c r="U32" s="513">
        <f t="shared" si="19"/>
        <v>164722</v>
      </c>
      <c r="V32" s="514">
        <f t="shared" si="19"/>
        <v>182062</v>
      </c>
      <c r="AA32" s="226"/>
      <c r="AB32" s="226"/>
      <c r="AC32" s="226"/>
      <c r="AD32" s="226"/>
      <c r="AE32" s="226"/>
      <c r="AF32" s="226"/>
      <c r="AG32" s="226"/>
      <c r="AH32" s="226"/>
      <c r="AI32" s="226"/>
      <c r="AJ32" s="226"/>
      <c r="AK32" s="226"/>
      <c r="AL32" s="226"/>
      <c r="AM32" s="226"/>
      <c r="AN32" s="226"/>
      <c r="AO32" s="226"/>
    </row>
    <row r="33" spans="1:79" s="486" customFormat="1" ht="12.75" thickBot="1">
      <c r="A33" s="520"/>
      <c r="B33" s="521"/>
      <c r="C33" s="522"/>
      <c r="D33" s="522"/>
      <c r="E33" s="522"/>
      <c r="F33" s="522"/>
      <c r="G33" s="522"/>
      <c r="H33" s="522"/>
      <c r="I33" s="769"/>
      <c r="J33" s="525"/>
      <c r="K33" s="522"/>
      <c r="L33" s="522"/>
      <c r="M33" s="522"/>
      <c r="N33" s="522"/>
      <c r="O33" s="522"/>
      <c r="P33" s="522"/>
      <c r="Q33" s="522"/>
      <c r="R33" s="522"/>
      <c r="S33" s="525"/>
      <c r="T33" s="522"/>
      <c r="U33" s="524"/>
      <c r="V33" s="525"/>
      <c r="AA33" s="226"/>
      <c r="AB33" s="226"/>
      <c r="AC33" s="226"/>
      <c r="AD33" s="226"/>
      <c r="AE33" s="226"/>
      <c r="AF33" s="226"/>
      <c r="AG33" s="226"/>
      <c r="AH33" s="226"/>
      <c r="AI33" s="226"/>
      <c r="AJ33" s="226"/>
      <c r="AK33" s="226"/>
      <c r="AL33" s="226"/>
      <c r="AM33" s="226"/>
      <c r="AN33" s="226"/>
      <c r="AO33" s="226"/>
    </row>
    <row r="34" spans="1:79">
      <c r="A34" s="734">
        <f>+A30+1</f>
        <v>19</v>
      </c>
      <c r="B34" s="668" t="s">
        <v>1089</v>
      </c>
      <c r="C34" s="772">
        <f>+SUMIF('13.mell_ÖNKfeladatok2019'!$B$5:$B$159,'14.mell_Önk kiegészítés2019'!$A34,'13.mell_ÖNKfeladatok2019'!O$5:O$159)</f>
        <v>0</v>
      </c>
      <c r="D34" s="772">
        <f>+SUMIF('13.mell_ÖNKfeladatok2019'!$B$5:$B$159,'14.mell_Önk kiegészítés2019'!$A34,'13.mell_ÖNKfeladatok2019'!S$5:S$159)</f>
        <v>0</v>
      </c>
      <c r="E34" s="772">
        <f>+SUMIF('13.mell_ÖNKfeladatok2019'!$B$5:$B$159,'14.mell_Önk kiegészítés2019'!$A34,'13.mell_ÖNKfeladatok2019'!W$5:W$159)</f>
        <v>0</v>
      </c>
      <c r="F34" s="772">
        <f>+SUMIF('13.mell_ÖNKfeladatok2019'!$B$5:$B$159,'14.mell_Önk kiegészítés2019'!$A34,'13.mell_ÖNKfeladatok2019'!AA$5:AA$159)</f>
        <v>0</v>
      </c>
      <c r="G34" s="772">
        <f>+SUMIF('13.mell_ÖNKfeladatok2019'!$B$5:$B$159,'14.mell_Önk kiegészítés2019'!$A34,'13.mell_ÖNKfeladatok2019'!AI$5:AI$159)</f>
        <v>0</v>
      </c>
      <c r="H34" s="772">
        <f>+SUMIF('13.mell_ÖNKfeladatok2019'!$B$5:$B$159,'14.mell_Önk kiegészítés2019'!$A34,'13.mell_ÖNKfeladatok2019'!AM$5:AM$159)</f>
        <v>0</v>
      </c>
      <c r="I34" s="772">
        <f>+SUMIF('13.mell_ÖNKfeladatok2019'!$B$5:$B$159,'14.mell_Önk kiegészítés2019'!$A34,'13.mell_ÖNKfeladatok2019'!AQ$5:AQ$159)</f>
        <v>0</v>
      </c>
      <c r="J34" s="669">
        <f>SUM(C34:I34)</f>
        <v>0</v>
      </c>
      <c r="K34" s="772">
        <f>+SUMIF('13.mell_ÖNKfeladatok2019'!$B$167:$B$321,'14.mell_Önk kiegészítés2019'!$A34,'13.mell_ÖNKfeladatok2019'!O$167:O$321)</f>
        <v>206947</v>
      </c>
      <c r="L34" s="772">
        <f>+SUMIF('13.mell_ÖNKfeladatok2019'!$B$167:$B$321,'14.mell_Önk kiegészítés2019'!$A34,'13.mell_ÖNKfeladatok2019'!S$167:S$321)</f>
        <v>45351</v>
      </c>
      <c r="M34" s="772">
        <f>+SUMIF('13.mell_ÖNKfeladatok2019'!$B$167:$B$321,'14.mell_Önk kiegészítés2019'!$A34,'13.mell_ÖNKfeladatok2019'!W$167:W$321)</f>
        <v>26335</v>
      </c>
      <c r="N34" s="772">
        <f>+SUMIF('13.mell_ÖNKfeladatok2019'!$B$167:$B$321,'14.mell_Önk kiegészítés2019'!$A34,'13.mell_ÖNKfeladatok2019'!AA$167:AA$321)</f>
        <v>0</v>
      </c>
      <c r="O34" s="772">
        <f>+SUMIF('13.mell_ÖNKfeladatok2019'!$B$167:$B$321,'14.mell_Önk kiegészítés2019'!$A34,'13.mell_ÖNKfeladatok2019'!AE$167:AE$321)</f>
        <v>0</v>
      </c>
      <c r="P34" s="772">
        <f>+SUMIF('13.mell_ÖNKfeladatok2019'!$B$167:$B$321,'14.mell_Önk kiegészítés2019'!$A34,'13.mell_ÖNKfeladatok2019'!AM$167:AM$321)</f>
        <v>800</v>
      </c>
      <c r="Q34" s="772">
        <f>+SUMIF('13.mell_ÖNKfeladatok2019'!$B$167:$B$321,'14.mell_Önk kiegészítés2019'!$A34,'13.mell_ÖNKfeladatok2019'!AQ$167:AQ$321)</f>
        <v>0</v>
      </c>
      <c r="R34" s="772">
        <f>+SUMIF('13.mell_ÖNKfeladatok2019'!$B$167:$B$321,'14.mell_Önk kiegészítés2019'!$A34,'13.mell_ÖNKfeladatok2019'!AU$167:AU$321)</f>
        <v>0</v>
      </c>
      <c r="S34" s="669">
        <f>SUM(K34:R34)</f>
        <v>279433</v>
      </c>
      <c r="T34" s="670">
        <f>S34-J34</f>
        <v>279433</v>
      </c>
      <c r="U34" s="1082">
        <f>+ROUND(SUMIF('10.mell_támogatások2019'!$B$6:$B$137,'14.mell_Önk kiegészítés2019'!$A34,'10.mell_támogatások2019'!D$6:D$137)/1000,0)</f>
        <v>232153</v>
      </c>
      <c r="V34" s="671">
        <f>+T34-U34</f>
        <v>47280</v>
      </c>
      <c r="W34" s="486"/>
      <c r="AB34" s="226"/>
      <c r="AC34" s="226"/>
      <c r="AD34" s="226"/>
      <c r="AE34" s="226"/>
      <c r="BL34" s="226"/>
      <c r="BM34" s="226"/>
      <c r="BN34" s="226"/>
      <c r="BO34" s="226"/>
      <c r="BX34" s="226"/>
      <c r="BY34" s="226"/>
      <c r="BZ34" s="226"/>
      <c r="CA34" s="226"/>
    </row>
    <row r="35" spans="1:79">
      <c r="A35" s="735">
        <f>+A34+1</f>
        <v>20</v>
      </c>
      <c r="B35" s="494" t="s">
        <v>1168</v>
      </c>
      <c r="C35" s="495">
        <f>+SUMIF('13.mell_ÖNKfeladatok2019'!$B$5:$B$159,'14.mell_Önk kiegészítés2019'!$A35,'13.mell_ÖNKfeladatok2019'!O$5:O$159)</f>
        <v>0</v>
      </c>
      <c r="D35" s="495">
        <f>+SUMIF('13.mell_ÖNKfeladatok2019'!$B$5:$B$159,'14.mell_Önk kiegészítés2019'!$A35,'13.mell_ÖNKfeladatok2019'!S$5:S$159)</f>
        <v>0</v>
      </c>
      <c r="E35" s="495">
        <f>+SUMIF('13.mell_ÖNKfeladatok2019'!$B$5:$B$159,'14.mell_Önk kiegészítés2019'!$A35,'13.mell_ÖNKfeladatok2019'!W$5:W$159)</f>
        <v>19872</v>
      </c>
      <c r="F35" s="495">
        <f>+SUMIF('13.mell_ÖNKfeladatok2019'!$B$5:$B$159,'14.mell_Önk kiegészítés2019'!$A35,'13.mell_ÖNKfeladatok2019'!AA$5:AA$159)</f>
        <v>0</v>
      </c>
      <c r="G35" s="495">
        <f>+SUMIF('13.mell_ÖNKfeladatok2019'!$B$5:$B$159,'14.mell_Önk kiegészítés2019'!$A35,'13.mell_ÖNKfeladatok2019'!AI$5:AI$159)</f>
        <v>0</v>
      </c>
      <c r="H35" s="495">
        <f>+SUMIF('13.mell_ÖNKfeladatok2019'!$B$5:$B$159,'14.mell_Önk kiegészítés2019'!$A35,'13.mell_ÖNKfeladatok2019'!AM$5:AM$159)</f>
        <v>0</v>
      </c>
      <c r="I35" s="495">
        <f>+SUMIF('13.mell_ÖNKfeladatok2019'!$B$5:$B$159,'14.mell_Önk kiegészítés2019'!$A35,'13.mell_ÖNKfeladatok2019'!AQ$5:AQ$159)</f>
        <v>0</v>
      </c>
      <c r="J35" s="534">
        <f>SUM(C35:I35)</f>
        <v>19872</v>
      </c>
      <c r="K35" s="495">
        <f>+SUMIF('13.mell_ÖNKfeladatok2019'!$B$167:$B$321,'14.mell_Önk kiegészítés2019'!$A35,'13.mell_ÖNKfeladatok2019'!O$167:O$321)</f>
        <v>0</v>
      </c>
      <c r="L35" s="495">
        <f>+SUMIF('13.mell_ÖNKfeladatok2019'!$B$167:$B$321,'14.mell_Önk kiegészítés2019'!$A35,'13.mell_ÖNKfeladatok2019'!S$167:S$321)</f>
        <v>0</v>
      </c>
      <c r="M35" s="495">
        <f>+SUMIF('13.mell_ÖNKfeladatok2019'!$B$167:$B$321,'14.mell_Önk kiegészítés2019'!$A35,'13.mell_ÖNKfeladatok2019'!W$167:W$321)</f>
        <v>82181</v>
      </c>
      <c r="N35" s="495">
        <f>+SUMIF('13.mell_ÖNKfeladatok2019'!$B$167:$B$321,'14.mell_Önk kiegészítés2019'!$A35,'13.mell_ÖNKfeladatok2019'!AA$167:AA$321)</f>
        <v>0</v>
      </c>
      <c r="O35" s="495">
        <f>+SUMIF('13.mell_ÖNKfeladatok2019'!$B$167:$B$321,'14.mell_Önk kiegészítés2019'!$A35,'13.mell_ÖNKfeladatok2019'!AE$167:AE$321)</f>
        <v>0</v>
      </c>
      <c r="P35" s="495">
        <f>+SUMIF('13.mell_ÖNKfeladatok2019'!$B$167:$B$321,'14.mell_Önk kiegészítés2019'!$A35,'13.mell_ÖNKfeladatok2019'!AM$167:AM$321)</f>
        <v>0</v>
      </c>
      <c r="Q35" s="495">
        <f>+SUMIF('13.mell_ÖNKfeladatok2019'!$B$167:$B$321,'14.mell_Önk kiegészítés2019'!$A35,'13.mell_ÖNKfeladatok2019'!AQ$167:AQ$321)</f>
        <v>0</v>
      </c>
      <c r="R35" s="495">
        <f>+SUMIF('13.mell_ÖNKfeladatok2019'!$B$167:$B$321,'14.mell_Önk kiegészítés2019'!$A35,'13.mell_ÖNKfeladatok2019'!AU$167:AU$321)</f>
        <v>0</v>
      </c>
      <c r="S35" s="534">
        <f>SUM(K35:R35)</f>
        <v>82181</v>
      </c>
      <c r="T35" s="496">
        <f>S35-J35</f>
        <v>62309</v>
      </c>
      <c r="U35" s="1080">
        <f>+ROUND(SUMIF('10.mell_támogatások2019'!$B$6:$B$137,'14.mell_Önk kiegészítés2019'!$A35,'10.mell_támogatások2019'!D$6:D$137)/1000,0)-1490</f>
        <v>62583</v>
      </c>
      <c r="V35" s="497">
        <f>+T35-U35</f>
        <v>-274</v>
      </c>
      <c r="W35" s="486"/>
      <c r="AB35" s="226"/>
      <c r="AC35" s="226"/>
      <c r="AD35" s="226"/>
      <c r="AE35" s="226"/>
      <c r="AH35" s="226">
        <f>-(1163+227+100)</f>
        <v>-1490</v>
      </c>
      <c r="BL35" s="226"/>
      <c r="BM35" s="226"/>
      <c r="BN35" s="226"/>
      <c r="BO35" s="226"/>
      <c r="BX35" s="226"/>
      <c r="BY35" s="226"/>
      <c r="BZ35" s="226"/>
      <c r="CA35" s="226"/>
    </row>
    <row r="36" spans="1:79" ht="12.75" thickBot="1">
      <c r="A36" s="770">
        <f>+A35+1</f>
        <v>21</v>
      </c>
      <c r="B36" s="507" t="s">
        <v>1161</v>
      </c>
      <c r="C36" s="508">
        <f>+SUMIF('13.mell_ÖNKfeladatok2019'!$B$5:$B$159,'14.mell_Önk kiegészítés2019'!$A36,'13.mell_ÖNKfeladatok2019'!O$5:O$159)</f>
        <v>0</v>
      </c>
      <c r="D36" s="508">
        <f>+SUMIF('13.mell_ÖNKfeladatok2019'!$B$5:$B$159,'14.mell_Önk kiegészítés2019'!$A36,'13.mell_ÖNKfeladatok2019'!S$5:S$159)</f>
        <v>0</v>
      </c>
      <c r="E36" s="508">
        <f>+SUMIF('13.mell_ÖNKfeladatok2019'!$B$5:$B$159,'14.mell_Önk kiegészítés2019'!$A36,'13.mell_ÖNKfeladatok2019'!W$5:W$159)</f>
        <v>0</v>
      </c>
      <c r="F36" s="508">
        <f>+SUMIF('13.mell_ÖNKfeladatok2019'!$B$5:$B$159,'14.mell_Önk kiegészítés2019'!$A36,'13.mell_ÖNKfeladatok2019'!AA$5:AA$159)</f>
        <v>0</v>
      </c>
      <c r="G36" s="508">
        <f>+SUMIF('13.mell_ÖNKfeladatok2019'!$B$5:$B$159,'14.mell_Önk kiegészítés2019'!$A36,'13.mell_ÖNKfeladatok2019'!AI$5:AI$159)</f>
        <v>0</v>
      </c>
      <c r="H36" s="508">
        <f>+SUMIF('13.mell_ÖNKfeladatok2019'!$B$5:$B$159,'14.mell_Önk kiegészítés2019'!$A36,'13.mell_ÖNKfeladatok2019'!AM$5:AM$159)</f>
        <v>0</v>
      </c>
      <c r="I36" s="508">
        <f>+SUMIF('13.mell_ÖNKfeladatok2019'!$B$5:$B$159,'14.mell_Önk kiegészítés2019'!$A36,'13.mell_ÖNKfeladatok2019'!AQ$5:AQ$159)</f>
        <v>0</v>
      </c>
      <c r="J36" s="536">
        <f>SUM(C36:I36)</f>
        <v>0</v>
      </c>
      <c r="K36" s="491">
        <f>+SUMIF('13.mell_ÖNKfeladatok2019'!$B$167:$B$321,'14.mell_Önk kiegészítés2019'!$A36,'13.mell_ÖNKfeladatok2019'!O$167:O$321)</f>
        <v>28774</v>
      </c>
      <c r="L36" s="491">
        <f>+SUMIF('13.mell_ÖNKfeladatok2019'!$B$167:$B$321,'14.mell_Önk kiegészítés2019'!$A36,'13.mell_ÖNKfeladatok2019'!S$167:S$321)</f>
        <v>5671</v>
      </c>
      <c r="M36" s="491">
        <f>+SUMIF('13.mell_ÖNKfeladatok2019'!$B$167:$B$321,'14.mell_Önk kiegészítés2019'!$A36,'13.mell_ÖNKfeladatok2019'!W$167:W$321)</f>
        <v>4091</v>
      </c>
      <c r="N36" s="491">
        <f>+SUMIF('13.mell_ÖNKfeladatok2019'!$B$167:$B$321,'14.mell_Önk kiegészítés2019'!$A36,'13.mell_ÖNKfeladatok2019'!AA$167:AA$321)</f>
        <v>0</v>
      </c>
      <c r="O36" s="491">
        <f>+SUMIF('13.mell_ÖNKfeladatok2019'!$B$167:$B$321,'14.mell_Önk kiegészítés2019'!$A36,'13.mell_ÖNKfeladatok2019'!AE$167:AE$321)</f>
        <v>0</v>
      </c>
      <c r="P36" s="491">
        <f>+SUMIF('13.mell_ÖNKfeladatok2019'!$B$167:$B$321,'14.mell_Önk kiegészítés2019'!$A36,'13.mell_ÖNKfeladatok2019'!AM$167:AM$321)</f>
        <v>0</v>
      </c>
      <c r="Q36" s="491">
        <f>+SUMIF('13.mell_ÖNKfeladatok2019'!$B$167:$B$321,'14.mell_Önk kiegészítés2019'!$A36,'13.mell_ÖNKfeladatok2019'!AQ$167:AQ$321)</f>
        <v>0</v>
      </c>
      <c r="R36" s="491">
        <f>+SUMIF('13.mell_ÖNKfeladatok2019'!$B$167:$B$321,'14.mell_Önk kiegészítés2019'!$A36,'13.mell_ÖNKfeladatok2019'!AU$167:AU$321)</f>
        <v>0</v>
      </c>
      <c r="S36" s="533">
        <f>SUM(K36:R36)</f>
        <v>38536</v>
      </c>
      <c r="T36" s="492">
        <f>S36-J36</f>
        <v>38536</v>
      </c>
      <c r="U36" s="1079">
        <f>+ROUND(SUMIF('10.mell_támogatások2019'!$B$6:$B$137,'14.mell_Önk kiegészítés2019'!$A36,'10.mell_támogatások2019'!D$6:D$137)/1000,0)</f>
        <v>24951</v>
      </c>
      <c r="V36" s="493">
        <f>+T36-U36</f>
        <v>13585</v>
      </c>
      <c r="W36" s="486"/>
      <c r="AB36" s="226"/>
      <c r="AC36" s="226"/>
      <c r="AD36" s="226"/>
      <c r="AE36" s="226"/>
      <c r="BL36" s="226"/>
      <c r="BM36" s="226"/>
      <c r="BN36" s="226"/>
      <c r="BO36" s="226"/>
      <c r="BX36" s="226"/>
      <c r="BY36" s="226"/>
      <c r="BZ36" s="226"/>
      <c r="CA36" s="226"/>
    </row>
    <row r="37" spans="1:79" s="486" customFormat="1" ht="12.75" thickBot="1">
      <c r="A37" s="309" t="s">
        <v>754</v>
      </c>
      <c r="B37" s="450" t="s">
        <v>418</v>
      </c>
      <c r="C37" s="502">
        <f>SUM(C34:C36)</f>
        <v>0</v>
      </c>
      <c r="D37" s="502">
        <f t="shared" ref="D37" si="20">SUM(D34:D36)</f>
        <v>0</v>
      </c>
      <c r="E37" s="502">
        <f t="shared" ref="E37:V37" si="21">SUM(E34:E36)</f>
        <v>19872</v>
      </c>
      <c r="F37" s="502">
        <f t="shared" si="21"/>
        <v>0</v>
      </c>
      <c r="G37" s="502">
        <f t="shared" si="21"/>
        <v>0</v>
      </c>
      <c r="H37" s="502">
        <f t="shared" si="21"/>
        <v>0</v>
      </c>
      <c r="I37" s="502">
        <f t="shared" si="21"/>
        <v>0</v>
      </c>
      <c r="J37" s="505">
        <f t="shared" si="21"/>
        <v>19872</v>
      </c>
      <c r="K37" s="502">
        <f t="shared" si="21"/>
        <v>235721</v>
      </c>
      <c r="L37" s="502">
        <f t="shared" si="21"/>
        <v>51022</v>
      </c>
      <c r="M37" s="502">
        <f t="shared" si="21"/>
        <v>112607</v>
      </c>
      <c r="N37" s="502">
        <f t="shared" si="21"/>
        <v>0</v>
      </c>
      <c r="O37" s="502">
        <f t="shared" si="21"/>
        <v>0</v>
      </c>
      <c r="P37" s="502">
        <f t="shared" si="21"/>
        <v>800</v>
      </c>
      <c r="Q37" s="502">
        <f t="shared" si="21"/>
        <v>0</v>
      </c>
      <c r="R37" s="502">
        <f t="shared" si="21"/>
        <v>0</v>
      </c>
      <c r="S37" s="505">
        <f t="shared" si="21"/>
        <v>400150</v>
      </c>
      <c r="T37" s="502">
        <f t="shared" si="21"/>
        <v>380278</v>
      </c>
      <c r="U37" s="506">
        <f t="shared" si="21"/>
        <v>319687</v>
      </c>
      <c r="V37" s="505">
        <f t="shared" si="21"/>
        <v>60591</v>
      </c>
      <c r="AA37" s="226"/>
      <c r="AB37" s="226"/>
      <c r="AC37" s="226"/>
      <c r="AD37" s="226"/>
      <c r="AE37" s="226"/>
      <c r="AF37" s="226"/>
      <c r="AG37" s="226"/>
      <c r="AH37" s="226"/>
      <c r="AI37" s="226"/>
      <c r="AJ37" s="226"/>
      <c r="AK37" s="226"/>
      <c r="AL37" s="226"/>
      <c r="AM37" s="226"/>
      <c r="AN37" s="226"/>
      <c r="AO37" s="226"/>
    </row>
    <row r="38" spans="1:79" ht="12.75" thickBot="1">
      <c r="A38" s="773">
        <f>+A36+1</f>
        <v>22</v>
      </c>
      <c r="B38" s="507" t="s">
        <v>419</v>
      </c>
      <c r="C38" s="508">
        <f>+SUMIF('13.mell_ÖNKfeladatok2019'!$B$5:$B$159,'14.mell_Önk kiegészítés2019'!$A38,'13.mell_ÖNKfeladatok2019'!O$5:O$159)</f>
        <v>0</v>
      </c>
      <c r="D38" s="508">
        <f>+SUMIF('13.mell_ÖNKfeladatok2019'!$B$5:$B$159,'14.mell_Önk kiegészítés2019'!$A38,'13.mell_ÖNKfeladatok2019'!S$5:S$159)</f>
        <v>0</v>
      </c>
      <c r="E38" s="508">
        <f>+SUMIF('13.mell_ÖNKfeladatok2019'!$B$5:$B$159,'14.mell_Önk kiegészítés2019'!$A38,'13.mell_ÖNKfeladatok2019'!W$5:W$159)</f>
        <v>0</v>
      </c>
      <c r="F38" s="508">
        <f>+SUMIF('13.mell_ÖNKfeladatok2019'!$B$5:$B$159,'14.mell_Önk kiegészítés2019'!$A38,'13.mell_ÖNKfeladatok2019'!AA$5:AA$159)</f>
        <v>0</v>
      </c>
      <c r="G38" s="508">
        <f>+SUMIF('13.mell_ÖNKfeladatok2019'!$B$5:$B$159,'14.mell_Önk kiegészítés2019'!$A38,'13.mell_ÖNKfeladatok2019'!AI$5:AI$159)</f>
        <v>0</v>
      </c>
      <c r="H38" s="508">
        <f>+SUMIF('13.mell_ÖNKfeladatok2019'!$B$5:$B$159,'14.mell_Önk kiegészítés2019'!$A38,'13.mell_ÖNKfeladatok2019'!AM$5:AM$159)</f>
        <v>0</v>
      </c>
      <c r="I38" s="508">
        <f>+SUMIF('13.mell_ÖNKfeladatok2019'!$B$5:$B$159,'14.mell_Önk kiegészítés2019'!$A38,'13.mell_ÖNKfeladatok2019'!AQ$5:AQ$159)</f>
        <v>0</v>
      </c>
      <c r="J38" s="536">
        <f>SUM(C38:I38)</f>
        <v>0</v>
      </c>
      <c r="K38" s="499">
        <f>+SUMIF('13.mell_ÖNKfeladatok2019'!$B$167:$B$321,'14.mell_Önk kiegészítés2019'!$A38,'13.mell_ÖNKfeladatok2019'!O$167:O$321)</f>
        <v>0</v>
      </c>
      <c r="L38" s="499">
        <f>+SUMIF('13.mell_ÖNKfeladatok2019'!$B$167:$B$321,'14.mell_Önk kiegészítés2019'!$A38,'13.mell_ÖNKfeladatok2019'!S$167:S$321)</f>
        <v>0</v>
      </c>
      <c r="M38" s="499">
        <f>+SUMIF('13.mell_ÖNKfeladatok2019'!$B$167:$B$321,'14.mell_Önk kiegészítés2019'!$A38,'13.mell_ÖNKfeladatok2019'!W$167:W$321)</f>
        <v>0</v>
      </c>
      <c r="N38" s="499">
        <f>+SUMIF('13.mell_ÖNKfeladatok2019'!$B$167:$B$321,'14.mell_Önk kiegészítés2019'!$A38,'13.mell_ÖNKfeladatok2019'!AA$167:AA$321)</f>
        <v>0</v>
      </c>
      <c r="O38" s="499">
        <f>+SUMIF('13.mell_ÖNKfeladatok2019'!$B$167:$B$321,'14.mell_Önk kiegészítés2019'!$A38,'13.mell_ÖNKfeladatok2019'!AE$167:AE$321)</f>
        <v>0</v>
      </c>
      <c r="P38" s="499">
        <f>+SUMIF('13.mell_ÖNKfeladatok2019'!$B$167:$B$321,'14.mell_Önk kiegészítés2019'!$A38,'13.mell_ÖNKfeladatok2019'!AM$167:AM$321)</f>
        <v>0</v>
      </c>
      <c r="Q38" s="499">
        <f>+SUMIF('13.mell_ÖNKfeladatok2019'!$B$167:$B$321,'14.mell_Önk kiegészítés2019'!$A38,'13.mell_ÖNKfeladatok2019'!AQ$167:AQ$321)</f>
        <v>0</v>
      </c>
      <c r="R38" s="499">
        <f>+SUMIF('13.mell_ÖNKfeladatok2019'!$B$167:$B$321,'14.mell_Önk kiegészítés2019'!$A38,'13.mell_ÖNKfeladatok2019'!AU$167:AU$321)</f>
        <v>0</v>
      </c>
      <c r="S38" s="535">
        <f>SUM(K38:R38)</f>
        <v>0</v>
      </c>
      <c r="T38" s="774">
        <f>S38-J38</f>
        <v>0</v>
      </c>
      <c r="U38" s="1083">
        <f>+ROUND(SUMIF('10.mell_támogatások2019'!$B$6:$B$137,'14.mell_Önk kiegészítés2019'!$A38,'10.mell_támogatások2019'!D$6:D$137)/1000,0)</f>
        <v>0</v>
      </c>
      <c r="V38" s="775">
        <f>+T38-U38</f>
        <v>0</v>
      </c>
      <c r="W38" s="486"/>
      <c r="AB38" s="226"/>
      <c r="AC38" s="226"/>
      <c r="AD38" s="226"/>
      <c r="AE38" s="226"/>
      <c r="BL38" s="226"/>
      <c r="BM38" s="226"/>
      <c r="BN38" s="226"/>
      <c r="BO38" s="226"/>
      <c r="BX38" s="226"/>
      <c r="BY38" s="226"/>
      <c r="BZ38" s="226"/>
      <c r="CA38" s="226"/>
    </row>
    <row r="39" spans="1:79" s="486" customFormat="1" ht="12.75" thickBot="1">
      <c r="A39" s="309" t="s">
        <v>755</v>
      </c>
      <c r="B39" s="450" t="s">
        <v>419</v>
      </c>
      <c r="C39" s="502">
        <f>SUM(C38)</f>
        <v>0</v>
      </c>
      <c r="D39" s="502">
        <f t="shared" ref="D39" si="22">SUM(D38)</f>
        <v>0</v>
      </c>
      <c r="E39" s="502">
        <f t="shared" ref="E39:V39" si="23">SUM(E38)</f>
        <v>0</v>
      </c>
      <c r="F39" s="502">
        <f t="shared" si="23"/>
        <v>0</v>
      </c>
      <c r="G39" s="502">
        <f t="shared" si="23"/>
        <v>0</v>
      </c>
      <c r="H39" s="502">
        <f t="shared" si="23"/>
        <v>0</v>
      </c>
      <c r="I39" s="502">
        <f t="shared" si="23"/>
        <v>0</v>
      </c>
      <c r="J39" s="505">
        <f t="shared" si="23"/>
        <v>0</v>
      </c>
      <c r="K39" s="502">
        <f t="shared" si="23"/>
        <v>0</v>
      </c>
      <c r="L39" s="502">
        <f t="shared" si="23"/>
        <v>0</v>
      </c>
      <c r="M39" s="502">
        <f t="shared" si="23"/>
        <v>0</v>
      </c>
      <c r="N39" s="502">
        <f t="shared" si="23"/>
        <v>0</v>
      </c>
      <c r="O39" s="502">
        <f t="shared" si="23"/>
        <v>0</v>
      </c>
      <c r="P39" s="502">
        <f t="shared" si="23"/>
        <v>0</v>
      </c>
      <c r="Q39" s="502">
        <f t="shared" si="23"/>
        <v>0</v>
      </c>
      <c r="R39" s="502">
        <f t="shared" si="23"/>
        <v>0</v>
      </c>
      <c r="S39" s="505">
        <f t="shared" si="23"/>
        <v>0</v>
      </c>
      <c r="T39" s="502">
        <f t="shared" si="23"/>
        <v>0</v>
      </c>
      <c r="U39" s="506">
        <f t="shared" si="23"/>
        <v>0</v>
      </c>
      <c r="V39" s="505">
        <f t="shared" si="23"/>
        <v>0</v>
      </c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6"/>
      <c r="AM39" s="226"/>
      <c r="AN39" s="226"/>
      <c r="AO39" s="226"/>
    </row>
    <row r="40" spans="1:79" ht="12.75" thickBot="1">
      <c r="A40" s="773">
        <f>+A38+1</f>
        <v>23</v>
      </c>
      <c r="B40" s="507" t="s">
        <v>773</v>
      </c>
      <c r="C40" s="508">
        <f>+SUMIF('13.mell_ÖNKfeladatok2019'!$B$5:$B$159,'14.mell_Önk kiegészítés2019'!$A40,'13.mell_ÖNKfeladatok2019'!O$5:O$159)</f>
        <v>0</v>
      </c>
      <c r="D40" s="508">
        <f>+SUMIF('13.mell_ÖNKfeladatok2019'!$B$5:$B$159,'14.mell_Önk kiegészítés2019'!$A40,'13.mell_ÖNKfeladatok2019'!S$5:S$159)</f>
        <v>0</v>
      </c>
      <c r="E40" s="508">
        <f>+SUMIF('13.mell_ÖNKfeladatok2019'!$B$5:$B$159,'14.mell_Önk kiegészítés2019'!$A40,'13.mell_ÖNKfeladatok2019'!W$5:W$159)</f>
        <v>0</v>
      </c>
      <c r="F40" s="508">
        <f>+SUMIF('13.mell_ÖNKfeladatok2019'!$B$5:$B$159,'14.mell_Önk kiegészítés2019'!$A40,'13.mell_ÖNKfeladatok2019'!AA$5:AA$159)</f>
        <v>0</v>
      </c>
      <c r="G40" s="508">
        <f>+SUMIF('13.mell_ÖNKfeladatok2019'!$B$5:$B$159,'14.mell_Önk kiegészítés2019'!$A40,'13.mell_ÖNKfeladatok2019'!AI$5:AI$159)</f>
        <v>0</v>
      </c>
      <c r="H40" s="508">
        <f>+SUMIF('13.mell_ÖNKfeladatok2019'!$B$5:$B$159,'14.mell_Önk kiegészítés2019'!$A40,'13.mell_ÖNKfeladatok2019'!AM$5:AM$159)</f>
        <v>0</v>
      </c>
      <c r="I40" s="508">
        <f>+SUMIF('13.mell_ÖNKfeladatok2019'!$B$5:$B$159,'14.mell_Önk kiegészítés2019'!$A40,'13.mell_ÖNKfeladatok2019'!AQ$5:AQ$159)</f>
        <v>0</v>
      </c>
      <c r="J40" s="536">
        <f>SUM(C40:I40)</f>
        <v>0</v>
      </c>
      <c r="K40" s="499">
        <f>+SUMIF('13.mell_ÖNKfeladatok2019'!$B$167:$B$321,'14.mell_Önk kiegészítés2019'!$A40,'13.mell_ÖNKfeladatok2019'!O$167:O$321)</f>
        <v>0</v>
      </c>
      <c r="L40" s="499">
        <f>+SUMIF('13.mell_ÖNKfeladatok2019'!$B$167:$B$321,'14.mell_Önk kiegészítés2019'!$A40,'13.mell_ÖNKfeladatok2019'!S$167:S$321)</f>
        <v>0</v>
      </c>
      <c r="M40" s="499">
        <f>+SUMIF('13.mell_ÖNKfeladatok2019'!$B$167:$B$321,'14.mell_Önk kiegészítés2019'!$A40,'13.mell_ÖNKfeladatok2019'!W$167:W$321)</f>
        <v>0</v>
      </c>
      <c r="N40" s="499">
        <f>+SUMIF('13.mell_ÖNKfeladatok2019'!$B$167:$B$321,'14.mell_Önk kiegészítés2019'!$A40,'13.mell_ÖNKfeladatok2019'!AA$167:AA$321)</f>
        <v>0</v>
      </c>
      <c r="O40" s="499">
        <f>+SUMIF('13.mell_ÖNKfeladatok2019'!$B$167:$B$321,'14.mell_Önk kiegészítés2019'!$A40,'13.mell_ÖNKfeladatok2019'!AE$167:AE$321)</f>
        <v>0</v>
      </c>
      <c r="P40" s="499">
        <f>+SUMIF('13.mell_ÖNKfeladatok2019'!$B$167:$B$321,'14.mell_Önk kiegészítés2019'!$A40,'13.mell_ÖNKfeladatok2019'!AM$167:AM$321)</f>
        <v>0</v>
      </c>
      <c r="Q40" s="499">
        <f>+SUMIF('13.mell_ÖNKfeladatok2019'!$B$167:$B$321,'14.mell_Önk kiegészítés2019'!$A40,'13.mell_ÖNKfeladatok2019'!AQ$167:AQ$321)</f>
        <v>0</v>
      </c>
      <c r="R40" s="499">
        <f>+SUMIF('13.mell_ÖNKfeladatok2019'!$B$167:$B$321,'14.mell_Önk kiegészítés2019'!$A40,'13.mell_ÖNKfeladatok2019'!AU$167:AU$321)</f>
        <v>0</v>
      </c>
      <c r="S40" s="535">
        <f>SUM(K40:R40)</f>
        <v>0</v>
      </c>
      <c r="T40" s="774">
        <f>S40-J40</f>
        <v>0</v>
      </c>
      <c r="U40" s="1083">
        <f>+ROUND(SUMIF('10.mell_támogatások2019'!$B$6:$B$137,'14.mell_Önk kiegészítés2019'!$A40,'10.mell_támogatások2019'!D$6:D$137)/1000,0)</f>
        <v>0</v>
      </c>
      <c r="V40" s="775">
        <f>+T40-U40</f>
        <v>0</v>
      </c>
      <c r="W40" s="486"/>
      <c r="AB40" s="226"/>
      <c r="AC40" s="226"/>
      <c r="AD40" s="226"/>
      <c r="AE40" s="226"/>
      <c r="BL40" s="226"/>
      <c r="BM40" s="226"/>
      <c r="BN40" s="226"/>
      <c r="BO40" s="226"/>
      <c r="BX40" s="226"/>
      <c r="BY40" s="226"/>
      <c r="BZ40" s="226"/>
      <c r="CA40" s="226"/>
    </row>
    <row r="41" spans="1:79" s="486" customFormat="1" ht="12.75" thickBot="1">
      <c r="A41" s="309" t="s">
        <v>756</v>
      </c>
      <c r="B41" s="450" t="s">
        <v>773</v>
      </c>
      <c r="C41" s="502">
        <f>SUM(C40)</f>
        <v>0</v>
      </c>
      <c r="D41" s="502">
        <f t="shared" ref="D41" si="24">SUM(D40)</f>
        <v>0</v>
      </c>
      <c r="E41" s="502">
        <f t="shared" ref="E41:V41" si="25">SUM(E40)</f>
        <v>0</v>
      </c>
      <c r="F41" s="502">
        <f t="shared" si="25"/>
        <v>0</v>
      </c>
      <c r="G41" s="502">
        <f t="shared" si="25"/>
        <v>0</v>
      </c>
      <c r="H41" s="502">
        <f t="shared" si="25"/>
        <v>0</v>
      </c>
      <c r="I41" s="502">
        <f t="shared" si="25"/>
        <v>0</v>
      </c>
      <c r="J41" s="505">
        <f t="shared" si="25"/>
        <v>0</v>
      </c>
      <c r="K41" s="502">
        <f t="shared" si="25"/>
        <v>0</v>
      </c>
      <c r="L41" s="502">
        <f t="shared" si="25"/>
        <v>0</v>
      </c>
      <c r="M41" s="502">
        <f t="shared" si="25"/>
        <v>0</v>
      </c>
      <c r="N41" s="502">
        <f t="shared" si="25"/>
        <v>0</v>
      </c>
      <c r="O41" s="502">
        <f t="shared" si="25"/>
        <v>0</v>
      </c>
      <c r="P41" s="502">
        <f t="shared" si="25"/>
        <v>0</v>
      </c>
      <c r="Q41" s="502">
        <f t="shared" si="25"/>
        <v>0</v>
      </c>
      <c r="R41" s="502">
        <f t="shared" si="25"/>
        <v>0</v>
      </c>
      <c r="S41" s="505">
        <f t="shared" si="25"/>
        <v>0</v>
      </c>
      <c r="T41" s="502">
        <f t="shared" si="25"/>
        <v>0</v>
      </c>
      <c r="U41" s="506">
        <f t="shared" si="25"/>
        <v>0</v>
      </c>
      <c r="V41" s="505">
        <f t="shared" si="25"/>
        <v>0</v>
      </c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</row>
    <row r="42" spans="1:79" s="486" customFormat="1" ht="12.75" thickBot="1">
      <c r="A42" s="452" t="s">
        <v>21</v>
      </c>
      <c r="B42" s="462" t="s">
        <v>420</v>
      </c>
      <c r="C42" s="511">
        <f>+C37+C39+C41</f>
        <v>0</v>
      </c>
      <c r="D42" s="512">
        <f t="shared" ref="D42" si="26">+D37+D39+D41</f>
        <v>0</v>
      </c>
      <c r="E42" s="512">
        <f t="shared" ref="E42:V42" si="27">+E37+E39+E41</f>
        <v>19872</v>
      </c>
      <c r="F42" s="512">
        <f t="shared" si="27"/>
        <v>0</v>
      </c>
      <c r="G42" s="512">
        <f t="shared" si="27"/>
        <v>0</v>
      </c>
      <c r="H42" s="512">
        <f t="shared" si="27"/>
        <v>0</v>
      </c>
      <c r="I42" s="513">
        <f t="shared" si="27"/>
        <v>0</v>
      </c>
      <c r="J42" s="514">
        <f t="shared" si="27"/>
        <v>19872</v>
      </c>
      <c r="K42" s="511">
        <f t="shared" si="27"/>
        <v>235721</v>
      </c>
      <c r="L42" s="511">
        <f t="shared" si="27"/>
        <v>51022</v>
      </c>
      <c r="M42" s="511">
        <f t="shared" si="27"/>
        <v>112607</v>
      </c>
      <c r="N42" s="511">
        <f t="shared" si="27"/>
        <v>0</v>
      </c>
      <c r="O42" s="511">
        <f t="shared" si="27"/>
        <v>0</v>
      </c>
      <c r="P42" s="511">
        <f t="shared" si="27"/>
        <v>800</v>
      </c>
      <c r="Q42" s="511">
        <f t="shared" si="27"/>
        <v>0</v>
      </c>
      <c r="R42" s="511">
        <f t="shared" si="27"/>
        <v>0</v>
      </c>
      <c r="S42" s="514">
        <f t="shared" si="27"/>
        <v>400150</v>
      </c>
      <c r="T42" s="511">
        <f t="shared" si="27"/>
        <v>380278</v>
      </c>
      <c r="U42" s="513">
        <f t="shared" si="27"/>
        <v>319687</v>
      </c>
      <c r="V42" s="514">
        <f t="shared" si="27"/>
        <v>60591</v>
      </c>
      <c r="AA42" s="226"/>
      <c r="AB42" s="226"/>
      <c r="AC42" s="226"/>
      <c r="AD42" s="226"/>
      <c r="AE42" s="226"/>
      <c r="AF42" s="226"/>
      <c r="AG42" s="226"/>
      <c r="AH42" s="226"/>
      <c r="AI42" s="226"/>
      <c r="AJ42" s="226"/>
      <c r="AK42" s="226"/>
      <c r="AL42" s="226"/>
      <c r="AM42" s="226"/>
      <c r="AN42" s="226"/>
      <c r="AO42" s="226"/>
    </row>
    <row r="43" spans="1:79" s="159" customFormat="1" ht="12.75" thickBot="1">
      <c r="A43" s="309"/>
      <c r="B43" s="450"/>
      <c r="C43" s="522"/>
      <c r="D43" s="523"/>
      <c r="E43" s="523"/>
      <c r="F43" s="523"/>
      <c r="G43" s="523"/>
      <c r="H43" s="523"/>
      <c r="I43" s="524"/>
      <c r="J43" s="525"/>
      <c r="K43" s="522"/>
      <c r="L43" s="522"/>
      <c r="M43" s="522"/>
      <c r="N43" s="522"/>
      <c r="O43" s="522"/>
      <c r="P43" s="522"/>
      <c r="Q43" s="522"/>
      <c r="R43" s="522"/>
      <c r="S43" s="525"/>
      <c r="T43" s="522"/>
      <c r="U43" s="524"/>
      <c r="V43" s="525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</row>
    <row r="44" spans="1:79">
      <c r="A44" s="734">
        <f>+A40+1</f>
        <v>24</v>
      </c>
      <c r="B44" s="668" t="s">
        <v>1099</v>
      </c>
      <c r="C44" s="772">
        <f>+SUMIF('13.mell_ÖNKfeladatok2019'!$B$5:$B$159,'14.mell_Önk kiegészítés2019'!$A44,'13.mell_ÖNKfeladatok2019'!O$5:O$159)</f>
        <v>0</v>
      </c>
      <c r="D44" s="772">
        <f>+SUMIF('13.mell_ÖNKfeladatok2019'!$B$5:$B$159,'14.mell_Önk kiegészítés2019'!$A44,'13.mell_ÖNKfeladatok2019'!S$5:S$159)</f>
        <v>0</v>
      </c>
      <c r="E44" s="772">
        <f>+SUMIF('13.mell_ÖNKfeladatok2019'!$B$5:$B$159,'14.mell_Önk kiegészítés2019'!$A44,'13.mell_ÖNKfeladatok2019'!W$5:W$159)</f>
        <v>0</v>
      </c>
      <c r="F44" s="772">
        <f>+SUMIF('13.mell_ÖNKfeladatok2019'!$B$5:$B$159,'14.mell_Önk kiegészítés2019'!$A44,'13.mell_ÖNKfeladatok2019'!AA$5:AA$159)</f>
        <v>0</v>
      </c>
      <c r="G44" s="772">
        <f>+SUMIF('13.mell_ÖNKfeladatok2019'!$B$5:$B$159,'14.mell_Önk kiegészítés2019'!$A44,'13.mell_ÖNKfeladatok2019'!AI$5:AI$159)</f>
        <v>0</v>
      </c>
      <c r="H44" s="772">
        <f>+SUMIF('13.mell_ÖNKfeladatok2019'!$B$5:$B$159,'14.mell_Önk kiegészítés2019'!$A44,'13.mell_ÖNKfeladatok2019'!AM$5:AM$159)</f>
        <v>0</v>
      </c>
      <c r="I44" s="772">
        <f>+SUMIF('13.mell_ÖNKfeladatok2019'!$B$5:$B$159,'14.mell_Önk kiegészítés2019'!$A44,'13.mell_ÖNKfeladatok2019'!AQ$5:AQ$159)</f>
        <v>0</v>
      </c>
      <c r="J44" s="669">
        <f>SUM(C44:I44)</f>
        <v>0</v>
      </c>
      <c r="K44" s="772">
        <f>+SUMIF('13.mell_ÖNKfeladatok2019'!$B$167:$B$321,'14.mell_Önk kiegészítés2019'!$A44,'13.mell_ÖNKfeladatok2019'!O$167:O$321)</f>
        <v>0</v>
      </c>
      <c r="L44" s="772">
        <f>+SUMIF('13.mell_ÖNKfeladatok2019'!$B$167:$B$321,'14.mell_Önk kiegészítés2019'!$A44,'13.mell_ÖNKfeladatok2019'!S$167:S$321)</f>
        <v>0</v>
      </c>
      <c r="M44" s="772">
        <f>+SUMIF('13.mell_ÖNKfeladatok2019'!$B$167:$B$321,'14.mell_Önk kiegészítés2019'!$A44,'13.mell_ÖNKfeladatok2019'!W$167:W$321)</f>
        <v>1470</v>
      </c>
      <c r="N44" s="772">
        <f>+SUMIF('13.mell_ÖNKfeladatok2019'!$B$167:$B$321,'14.mell_Önk kiegészítés2019'!$A44,'13.mell_ÖNKfeladatok2019'!AA$167:AA$321)</f>
        <v>0</v>
      </c>
      <c r="O44" s="772">
        <f>+SUMIF('13.mell_ÖNKfeladatok2019'!$B$167:$B$321,'14.mell_Önk kiegészítés2019'!$A44,'13.mell_ÖNKfeladatok2019'!AE$167:AE$321)</f>
        <v>0</v>
      </c>
      <c r="P44" s="772">
        <f>+SUMIF('13.mell_ÖNKfeladatok2019'!$B$167:$B$321,'14.mell_Önk kiegészítés2019'!$A44,'13.mell_ÖNKfeladatok2019'!AM$167:AM$321)</f>
        <v>0</v>
      </c>
      <c r="Q44" s="772">
        <f>+SUMIF('13.mell_ÖNKfeladatok2019'!$B$167:$B$321,'14.mell_Önk kiegészítés2019'!$A44,'13.mell_ÖNKfeladatok2019'!AQ$167:AQ$321)</f>
        <v>0</v>
      </c>
      <c r="R44" s="772">
        <f>+SUMIF('13.mell_ÖNKfeladatok2019'!$B$167:$B$321,'14.mell_Önk kiegészítés2019'!$A44,'13.mell_ÖNKfeladatok2019'!AU$167:AU$321)</f>
        <v>0</v>
      </c>
      <c r="S44" s="669">
        <f>SUM(K44:R44)</f>
        <v>1470</v>
      </c>
      <c r="T44" s="670">
        <f>S44-J44</f>
        <v>1470</v>
      </c>
      <c r="U44" s="1082">
        <f>+ROUND(SUMIF('10.mell_támogatások2019'!$B$6:$B$137,'14.mell_Önk kiegészítés2019'!$A44,'10.mell_támogatások2019'!D$6:D$137)/1000,0)</f>
        <v>0</v>
      </c>
      <c r="V44" s="671">
        <f>+T44-U44</f>
        <v>1470</v>
      </c>
      <c r="W44" s="486"/>
      <c r="AB44" s="226"/>
      <c r="AC44" s="226"/>
      <c r="AD44" s="226"/>
      <c r="AE44" s="226"/>
      <c r="BL44" s="226"/>
      <c r="BM44" s="226"/>
      <c r="BN44" s="226"/>
      <c r="BO44" s="226"/>
      <c r="BX44" s="226"/>
      <c r="BY44" s="226"/>
      <c r="BZ44" s="226"/>
      <c r="CA44" s="226"/>
    </row>
    <row r="45" spans="1:79">
      <c r="A45" s="735">
        <f>+A44+1</f>
        <v>25</v>
      </c>
      <c r="B45" s="494" t="s">
        <v>1162</v>
      </c>
      <c r="C45" s="495">
        <f>+SUMIF('13.mell_ÖNKfeladatok2019'!$B$5:$B$159,'14.mell_Önk kiegészítés2019'!$A45,'13.mell_ÖNKfeladatok2019'!O$5:O$159)</f>
        <v>0</v>
      </c>
      <c r="D45" s="495">
        <f>+SUMIF('13.mell_ÖNKfeladatok2019'!$B$5:$B$159,'14.mell_Önk kiegészítés2019'!$A45,'13.mell_ÖNKfeladatok2019'!S$5:S$159)</f>
        <v>0</v>
      </c>
      <c r="E45" s="495">
        <f>+SUMIF('13.mell_ÖNKfeladatok2019'!$B$5:$B$159,'14.mell_Önk kiegészítés2019'!$A45,'13.mell_ÖNKfeladatok2019'!W$5:W$159)</f>
        <v>400</v>
      </c>
      <c r="F45" s="495">
        <f>+SUMIF('13.mell_ÖNKfeladatok2019'!$B$5:$B$159,'14.mell_Önk kiegészítés2019'!$A45,'13.mell_ÖNKfeladatok2019'!AA$5:AA$159)</f>
        <v>0</v>
      </c>
      <c r="G45" s="495">
        <f>+SUMIF('13.mell_ÖNKfeladatok2019'!$B$5:$B$159,'14.mell_Önk kiegészítés2019'!$A45,'13.mell_ÖNKfeladatok2019'!AI$5:AI$159)</f>
        <v>0</v>
      </c>
      <c r="H45" s="495">
        <f>+SUMIF('13.mell_ÖNKfeladatok2019'!$B$5:$B$159,'14.mell_Önk kiegészítés2019'!$A45,'13.mell_ÖNKfeladatok2019'!AM$5:AM$159)</f>
        <v>0</v>
      </c>
      <c r="I45" s="495">
        <f>+SUMIF('13.mell_ÖNKfeladatok2019'!$B$5:$B$159,'14.mell_Önk kiegészítés2019'!$A45,'13.mell_ÖNKfeladatok2019'!AQ$5:AQ$159)</f>
        <v>0</v>
      </c>
      <c r="J45" s="534">
        <f>SUM(C45:I45)</f>
        <v>400</v>
      </c>
      <c r="K45" s="495">
        <f>+SUMIF('13.mell_ÖNKfeladatok2019'!$B$167:$B$321,'14.mell_Önk kiegészítés2019'!$A45,'13.mell_ÖNKfeladatok2019'!O$167:O$321)</f>
        <v>21407</v>
      </c>
      <c r="L45" s="495">
        <f>+SUMIF('13.mell_ÖNKfeladatok2019'!$B$167:$B$321,'14.mell_Önk kiegészítés2019'!$A45,'13.mell_ÖNKfeladatok2019'!S$167:S$321)</f>
        <v>4176</v>
      </c>
      <c r="M45" s="495">
        <f>+SUMIF('13.mell_ÖNKfeladatok2019'!$B$167:$B$321,'14.mell_Önk kiegészítés2019'!$A45,'13.mell_ÖNKfeladatok2019'!W$167:W$321)</f>
        <v>9875</v>
      </c>
      <c r="N45" s="495">
        <f>+SUMIF('13.mell_ÖNKfeladatok2019'!$B$167:$B$321,'14.mell_Önk kiegészítés2019'!$A45,'13.mell_ÖNKfeladatok2019'!AA$167:AA$321)</f>
        <v>0</v>
      </c>
      <c r="O45" s="495">
        <f>+SUMIF('13.mell_ÖNKfeladatok2019'!$B$167:$B$321,'14.mell_Önk kiegészítés2019'!$A45,'13.mell_ÖNKfeladatok2019'!AE$167:AE$321)</f>
        <v>0</v>
      </c>
      <c r="P45" s="495">
        <f>+SUMIF('13.mell_ÖNKfeladatok2019'!$B$167:$B$321,'14.mell_Önk kiegészítés2019'!$A45,'13.mell_ÖNKfeladatok2019'!AM$167:AM$321)</f>
        <v>10797</v>
      </c>
      <c r="Q45" s="495">
        <f>+SUMIF('13.mell_ÖNKfeladatok2019'!$B$167:$B$321,'14.mell_Önk kiegészítés2019'!$A45,'13.mell_ÖNKfeladatok2019'!AQ$167:AQ$321)</f>
        <v>0</v>
      </c>
      <c r="R45" s="495">
        <f>+SUMIF('13.mell_ÖNKfeladatok2019'!$B$167:$B$321,'14.mell_Önk kiegészítés2019'!$A45,'13.mell_ÖNKfeladatok2019'!AU$167:AU$321)</f>
        <v>0</v>
      </c>
      <c r="S45" s="534">
        <f>SUM(K45:R45)</f>
        <v>46255</v>
      </c>
      <c r="T45" s="496">
        <f>S45-J45</f>
        <v>45855</v>
      </c>
      <c r="U45" s="1080">
        <f>+ROUND(SUMIF('10.mell_támogatások2019'!$B$6:$B$137,'14.mell_Önk kiegészítés2019'!$A45,'10.mell_támogatások2019'!D$6:D$137)/1000,0)</f>
        <v>13000</v>
      </c>
      <c r="V45" s="497">
        <f>+T45-U45</f>
        <v>32855</v>
      </c>
      <c r="W45" s="486"/>
      <c r="AB45" s="226"/>
      <c r="AC45" s="226"/>
      <c r="AD45" s="226"/>
      <c r="AE45" s="226"/>
      <c r="BL45" s="226"/>
      <c r="BM45" s="226"/>
      <c r="BN45" s="226"/>
      <c r="BO45" s="226"/>
      <c r="BX45" s="226"/>
      <c r="BY45" s="226"/>
      <c r="BZ45" s="226"/>
      <c r="CA45" s="226"/>
    </row>
    <row r="46" spans="1:79" ht="12.75" thickBot="1">
      <c r="A46" s="776">
        <f>+A45+1</f>
        <v>26</v>
      </c>
      <c r="B46" s="507" t="s">
        <v>1106</v>
      </c>
      <c r="C46" s="508">
        <f>+SUMIF('13.mell_ÖNKfeladatok2019'!$B$5:$B$159,'14.mell_Önk kiegészítés2019'!$A46,'13.mell_ÖNKfeladatok2019'!O$5:O$159)</f>
        <v>0</v>
      </c>
      <c r="D46" s="508">
        <f>+SUMIF('13.mell_ÖNKfeladatok2019'!$B$5:$B$159,'14.mell_Önk kiegészítés2019'!$A46,'13.mell_ÖNKfeladatok2019'!S$5:S$159)</f>
        <v>0</v>
      </c>
      <c r="E46" s="508">
        <f>+SUMIF('13.mell_ÖNKfeladatok2019'!$B$5:$B$159,'14.mell_Önk kiegészítés2019'!$A46,'13.mell_ÖNKfeladatok2019'!W$5:W$159)</f>
        <v>100</v>
      </c>
      <c r="F46" s="508">
        <f>+SUMIF('13.mell_ÖNKfeladatok2019'!$B$5:$B$159,'14.mell_Önk kiegészítés2019'!$A46,'13.mell_ÖNKfeladatok2019'!AA$5:AA$159)</f>
        <v>0</v>
      </c>
      <c r="G46" s="508">
        <f>+SUMIF('13.mell_ÖNKfeladatok2019'!$B$5:$B$159,'14.mell_Önk kiegészítés2019'!$A46,'13.mell_ÖNKfeladatok2019'!AI$5:AI$159)</f>
        <v>0</v>
      </c>
      <c r="H46" s="508">
        <f>+SUMIF('13.mell_ÖNKfeladatok2019'!$B$5:$B$159,'14.mell_Önk kiegészítés2019'!$A46,'13.mell_ÖNKfeladatok2019'!AM$5:AM$159)</f>
        <v>0</v>
      </c>
      <c r="I46" s="508">
        <f>+SUMIF('13.mell_ÖNKfeladatok2019'!$B$5:$B$159,'14.mell_Önk kiegészítés2019'!$A46,'13.mell_ÖNKfeladatok2019'!AQ$5:AQ$159)</f>
        <v>0</v>
      </c>
      <c r="J46" s="536">
        <f>SUM(C46:I46)</f>
        <v>100</v>
      </c>
      <c r="K46" s="508">
        <f>+SUMIF('13.mell_ÖNKfeladatok2019'!$B$167:$B$321,'14.mell_Önk kiegészítés2019'!$A46,'13.mell_ÖNKfeladatok2019'!O$167:O$321)</f>
        <v>3208</v>
      </c>
      <c r="L46" s="508">
        <f>+SUMIF('13.mell_ÖNKfeladatok2019'!$B$167:$B$321,'14.mell_Önk kiegészítés2019'!$A46,'13.mell_ÖNKfeladatok2019'!S$167:S$321)</f>
        <v>633</v>
      </c>
      <c r="M46" s="508">
        <f>+SUMIF('13.mell_ÖNKfeladatok2019'!$B$167:$B$321,'14.mell_Önk kiegészítés2019'!$A46,'13.mell_ÖNKfeladatok2019'!W$167:W$321)</f>
        <v>2452</v>
      </c>
      <c r="N46" s="508">
        <f>+SUMIF('13.mell_ÖNKfeladatok2019'!$B$167:$B$321,'14.mell_Önk kiegészítés2019'!$A46,'13.mell_ÖNKfeladatok2019'!AA$167:AA$321)</f>
        <v>0</v>
      </c>
      <c r="O46" s="508">
        <f>+SUMIF('13.mell_ÖNKfeladatok2019'!$B$167:$B$321,'14.mell_Önk kiegészítés2019'!$A46,'13.mell_ÖNKfeladatok2019'!AE$167:AE$321)</f>
        <v>0</v>
      </c>
      <c r="P46" s="508">
        <f>+SUMIF('13.mell_ÖNKfeladatok2019'!$B$167:$B$321,'14.mell_Önk kiegészítés2019'!$A46,'13.mell_ÖNKfeladatok2019'!AM$167:AM$321)</f>
        <v>254</v>
      </c>
      <c r="Q46" s="508">
        <f>+SUMIF('13.mell_ÖNKfeladatok2019'!$B$167:$B$321,'14.mell_Önk kiegészítés2019'!$A46,'13.mell_ÖNKfeladatok2019'!AQ$167:AQ$321)</f>
        <v>0</v>
      </c>
      <c r="R46" s="508">
        <f>+SUMIF('13.mell_ÖNKfeladatok2019'!$B$167:$B$321,'14.mell_Önk kiegészítés2019'!$A46,'13.mell_ÖNKfeladatok2019'!AU$167:AU$321)</f>
        <v>0</v>
      </c>
      <c r="S46" s="536">
        <f>SUM(K46:R46)</f>
        <v>6547</v>
      </c>
      <c r="T46" s="777">
        <f>S46-J46</f>
        <v>6447</v>
      </c>
      <c r="U46" s="1084">
        <f>+ROUND(SUMIF('10.mell_támogatások2019'!$B$6:$B$137,'14.mell_Önk kiegészítés2019'!$A46,'10.mell_támogatások2019'!D$6:D$137)/1000,0)</f>
        <v>6679</v>
      </c>
      <c r="V46" s="778">
        <f>+T46-U46</f>
        <v>-232</v>
      </c>
      <c r="W46" s="486"/>
      <c r="AB46" s="226"/>
      <c r="AC46" s="226"/>
      <c r="AD46" s="226"/>
      <c r="AE46" s="226"/>
      <c r="BL46" s="226"/>
      <c r="BM46" s="226"/>
      <c r="BN46" s="226"/>
      <c r="BO46" s="226"/>
      <c r="BX46" s="226"/>
      <c r="BY46" s="226"/>
      <c r="BZ46" s="226"/>
      <c r="CA46" s="226"/>
    </row>
    <row r="47" spans="1:79" s="486" customFormat="1" ht="12.75" thickBot="1">
      <c r="A47" s="309" t="s">
        <v>757</v>
      </c>
      <c r="B47" s="450" t="s">
        <v>421</v>
      </c>
      <c r="C47" s="502">
        <f>SUM(C44:C46)</f>
        <v>0</v>
      </c>
      <c r="D47" s="502">
        <f t="shared" ref="D47" si="28">SUM(D44:D46)</f>
        <v>0</v>
      </c>
      <c r="E47" s="502">
        <f t="shared" ref="E47:V47" si="29">SUM(E44:E46)</f>
        <v>500</v>
      </c>
      <c r="F47" s="502">
        <f t="shared" si="29"/>
        <v>0</v>
      </c>
      <c r="G47" s="502">
        <f t="shared" si="29"/>
        <v>0</v>
      </c>
      <c r="H47" s="502">
        <f t="shared" si="29"/>
        <v>0</v>
      </c>
      <c r="I47" s="502">
        <f t="shared" si="29"/>
        <v>0</v>
      </c>
      <c r="J47" s="505">
        <f t="shared" si="29"/>
        <v>500</v>
      </c>
      <c r="K47" s="502">
        <f t="shared" si="29"/>
        <v>24615</v>
      </c>
      <c r="L47" s="502">
        <f t="shared" si="29"/>
        <v>4809</v>
      </c>
      <c r="M47" s="502">
        <f t="shared" si="29"/>
        <v>13797</v>
      </c>
      <c r="N47" s="502">
        <f t="shared" si="29"/>
        <v>0</v>
      </c>
      <c r="O47" s="502">
        <f t="shared" si="29"/>
        <v>0</v>
      </c>
      <c r="P47" s="502">
        <f t="shared" si="29"/>
        <v>11051</v>
      </c>
      <c r="Q47" s="502">
        <f t="shared" si="29"/>
        <v>0</v>
      </c>
      <c r="R47" s="502">
        <f t="shared" si="29"/>
        <v>0</v>
      </c>
      <c r="S47" s="505">
        <f t="shared" si="29"/>
        <v>54272</v>
      </c>
      <c r="T47" s="502">
        <f t="shared" si="29"/>
        <v>53772</v>
      </c>
      <c r="U47" s="506">
        <f t="shared" si="29"/>
        <v>19679</v>
      </c>
      <c r="V47" s="505">
        <f t="shared" si="29"/>
        <v>34093</v>
      </c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6"/>
      <c r="AO47" s="226"/>
    </row>
    <row r="48" spans="1:79" ht="12.75" thickBot="1">
      <c r="A48" s="781">
        <f>+A46+1</f>
        <v>27</v>
      </c>
      <c r="B48" s="782" t="s">
        <v>759</v>
      </c>
      <c r="C48" s="783">
        <f>+SUMIF('13.mell_ÖNKfeladatok2019'!$B$5:$B$159,'14.mell_Önk kiegészítés2019'!$A48,'13.mell_ÖNKfeladatok2019'!O$5:O$159)</f>
        <v>0</v>
      </c>
      <c r="D48" s="783">
        <f>+SUMIF('13.mell_ÖNKfeladatok2019'!$B$5:$B$159,'14.mell_Önk kiegészítés2019'!$A48,'13.mell_ÖNKfeladatok2019'!S$5:S$159)</f>
        <v>0</v>
      </c>
      <c r="E48" s="783">
        <f>+SUMIF('13.mell_ÖNKfeladatok2019'!$B$5:$B$159,'14.mell_Önk kiegészítés2019'!$A48,'13.mell_ÖNKfeladatok2019'!W$5:W$159)</f>
        <v>0</v>
      </c>
      <c r="F48" s="783">
        <f>+SUMIF('13.mell_ÖNKfeladatok2019'!$B$5:$B$159,'14.mell_Önk kiegészítés2019'!$A48,'13.mell_ÖNKfeladatok2019'!AA$5:AA$159)</f>
        <v>0</v>
      </c>
      <c r="G48" s="783">
        <f>+SUMIF('13.mell_ÖNKfeladatok2019'!$B$5:$B$159,'14.mell_Önk kiegészítés2019'!$A48,'13.mell_ÖNKfeladatok2019'!AI$5:AI$159)</f>
        <v>0</v>
      </c>
      <c r="H48" s="783">
        <f>+SUMIF('13.mell_ÖNKfeladatok2019'!$B$5:$B$159,'14.mell_Önk kiegészítés2019'!$A48,'13.mell_ÖNKfeladatok2019'!AM$5:AM$159)</f>
        <v>0</v>
      </c>
      <c r="I48" s="783">
        <f>+SUMIF('13.mell_ÖNKfeladatok2019'!$B$5:$B$159,'14.mell_Önk kiegészítés2019'!$A48,'13.mell_ÖNKfeladatok2019'!AQ$5:AQ$159)</f>
        <v>0</v>
      </c>
      <c r="J48" s="784">
        <f>SUM(C48:I48)</f>
        <v>0</v>
      </c>
      <c r="K48" s="783">
        <f>+SUMIF('13.mell_ÖNKfeladatok2019'!$B$167:$B$321,'14.mell_Önk kiegészítés2019'!$A48,'13.mell_ÖNKfeladatok2019'!O$167:O$321)</f>
        <v>0</v>
      </c>
      <c r="L48" s="783">
        <f>+SUMIF('13.mell_ÖNKfeladatok2019'!$B$167:$B$321,'14.mell_Önk kiegészítés2019'!$A48,'13.mell_ÖNKfeladatok2019'!S$167:S$321)</f>
        <v>0</v>
      </c>
      <c r="M48" s="783">
        <f>+SUMIF('13.mell_ÖNKfeladatok2019'!$B$167:$B$321,'14.mell_Önk kiegészítés2019'!$A48,'13.mell_ÖNKfeladatok2019'!W$167:W$321)</f>
        <v>0</v>
      </c>
      <c r="N48" s="783">
        <f>+SUMIF('13.mell_ÖNKfeladatok2019'!$B$167:$B$321,'14.mell_Önk kiegészítés2019'!$A48,'13.mell_ÖNKfeladatok2019'!AA$167:AA$321)</f>
        <v>0</v>
      </c>
      <c r="O48" s="783">
        <f>+SUMIF('13.mell_ÖNKfeladatok2019'!$B$167:$B$321,'14.mell_Önk kiegészítés2019'!$A48,'13.mell_ÖNKfeladatok2019'!AE$167:AE$321)</f>
        <v>0</v>
      </c>
      <c r="P48" s="783">
        <f>+SUMIF('13.mell_ÖNKfeladatok2019'!$B$167:$B$321,'14.mell_Önk kiegészítés2019'!$A48,'13.mell_ÖNKfeladatok2019'!AM$167:AM$321)</f>
        <v>0</v>
      </c>
      <c r="Q48" s="783">
        <f>+SUMIF('13.mell_ÖNKfeladatok2019'!$B$167:$B$321,'14.mell_Önk kiegészítés2019'!$A48,'13.mell_ÖNKfeladatok2019'!AQ$167:AQ$321)</f>
        <v>0</v>
      </c>
      <c r="R48" s="783">
        <f>+SUMIF('13.mell_ÖNKfeladatok2019'!$B$167:$B$321,'14.mell_Önk kiegészítés2019'!$A48,'13.mell_ÖNKfeladatok2019'!AU$167:AU$321)</f>
        <v>0</v>
      </c>
      <c r="S48" s="784">
        <f>SUM(K48:R48)</f>
        <v>0</v>
      </c>
      <c r="T48" s="502">
        <f>S48-J48</f>
        <v>0</v>
      </c>
      <c r="U48" s="1085">
        <f>+ROUND(SUMIF('10.mell_támogatások2019'!$B$6:$B$137,'14.mell_Önk kiegészítés2019'!$A48,'10.mell_támogatások2019'!D$6:D$137)/1000,0)</f>
        <v>0</v>
      </c>
      <c r="V48" s="505">
        <f>+T48-U48</f>
        <v>0</v>
      </c>
      <c r="W48" s="486"/>
      <c r="AB48" s="226"/>
      <c r="AC48" s="226"/>
      <c r="AD48" s="226"/>
      <c r="AE48" s="226"/>
      <c r="BL48" s="226"/>
      <c r="BM48" s="226"/>
      <c r="BN48" s="226"/>
      <c r="BO48" s="226"/>
      <c r="BX48" s="226"/>
      <c r="BY48" s="226"/>
      <c r="BZ48" s="226"/>
      <c r="CA48" s="226"/>
    </row>
    <row r="49" spans="1:79" s="486" customFormat="1" ht="12.75" thickBot="1">
      <c r="A49" s="458" t="s">
        <v>642</v>
      </c>
      <c r="B49" s="459" t="s">
        <v>759</v>
      </c>
      <c r="C49" s="779">
        <f>SUM(C48)</f>
        <v>0</v>
      </c>
      <c r="D49" s="779">
        <f t="shared" ref="D49" si="30">SUM(D48)</f>
        <v>0</v>
      </c>
      <c r="E49" s="779">
        <f t="shared" ref="E49:V49" si="31">SUM(E48)</f>
        <v>0</v>
      </c>
      <c r="F49" s="779">
        <f t="shared" si="31"/>
        <v>0</v>
      </c>
      <c r="G49" s="779">
        <f t="shared" si="31"/>
        <v>0</v>
      </c>
      <c r="H49" s="779">
        <f t="shared" si="31"/>
        <v>0</v>
      </c>
      <c r="I49" s="779">
        <f t="shared" si="31"/>
        <v>0</v>
      </c>
      <c r="J49" s="780">
        <f t="shared" si="31"/>
        <v>0</v>
      </c>
      <c r="K49" s="779">
        <f t="shared" si="31"/>
        <v>0</v>
      </c>
      <c r="L49" s="779">
        <f t="shared" si="31"/>
        <v>0</v>
      </c>
      <c r="M49" s="779">
        <f t="shared" si="31"/>
        <v>0</v>
      </c>
      <c r="N49" s="779">
        <f t="shared" si="31"/>
        <v>0</v>
      </c>
      <c r="O49" s="779">
        <f t="shared" si="31"/>
        <v>0</v>
      </c>
      <c r="P49" s="779">
        <f t="shared" si="31"/>
        <v>0</v>
      </c>
      <c r="Q49" s="779">
        <f t="shared" si="31"/>
        <v>0</v>
      </c>
      <c r="R49" s="779">
        <f t="shared" si="31"/>
        <v>0</v>
      </c>
      <c r="S49" s="780">
        <f t="shared" si="31"/>
        <v>0</v>
      </c>
      <c r="T49" s="779">
        <f t="shared" si="31"/>
        <v>0</v>
      </c>
      <c r="U49" s="1086">
        <f t="shared" si="31"/>
        <v>0</v>
      </c>
      <c r="V49" s="780">
        <f t="shared" si="31"/>
        <v>0</v>
      </c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</row>
    <row r="50" spans="1:79" ht="12.75" thickBot="1">
      <c r="A50" s="781">
        <f>+A48+1</f>
        <v>28</v>
      </c>
      <c r="B50" s="782" t="s">
        <v>774</v>
      </c>
      <c r="C50" s="783">
        <f>+SUMIF('13.mell_ÖNKfeladatok2019'!$B$5:$B$159,'14.mell_Önk kiegészítés2019'!$A50,'13.mell_ÖNKfeladatok2019'!O$5:O$159)</f>
        <v>0</v>
      </c>
      <c r="D50" s="783">
        <f>+SUMIF('13.mell_ÖNKfeladatok2019'!$B$5:$B$159,'14.mell_Önk kiegészítés2019'!$A50,'13.mell_ÖNKfeladatok2019'!S$5:S$159)</f>
        <v>0</v>
      </c>
      <c r="E50" s="783">
        <f>+SUMIF('13.mell_ÖNKfeladatok2019'!$B$5:$B$159,'14.mell_Önk kiegészítés2019'!$A50,'13.mell_ÖNKfeladatok2019'!W$5:W$159)</f>
        <v>0</v>
      </c>
      <c r="F50" s="783">
        <f>+SUMIF('13.mell_ÖNKfeladatok2019'!$B$5:$B$159,'14.mell_Önk kiegészítés2019'!$A50,'13.mell_ÖNKfeladatok2019'!AA$5:AA$159)</f>
        <v>0</v>
      </c>
      <c r="G50" s="783">
        <f>+SUMIF('13.mell_ÖNKfeladatok2019'!$B$5:$B$159,'14.mell_Önk kiegészítés2019'!$A50,'13.mell_ÖNKfeladatok2019'!AI$5:AI$159)</f>
        <v>0</v>
      </c>
      <c r="H50" s="783">
        <f>+SUMIF('13.mell_ÖNKfeladatok2019'!$B$5:$B$159,'14.mell_Önk kiegészítés2019'!$A50,'13.mell_ÖNKfeladatok2019'!AM$5:AM$159)</f>
        <v>0</v>
      </c>
      <c r="I50" s="783">
        <f>+SUMIF('13.mell_ÖNKfeladatok2019'!$B$5:$B$159,'14.mell_Önk kiegészítés2019'!$A50,'13.mell_ÖNKfeladatok2019'!AQ$5:AQ$159)</f>
        <v>0</v>
      </c>
      <c r="J50" s="784">
        <f>SUM(C50:I50)</f>
        <v>0</v>
      </c>
      <c r="K50" s="783">
        <f>+SUMIF('13.mell_ÖNKfeladatok2019'!$B$167:$B$321,'14.mell_Önk kiegészítés2019'!$A50,'13.mell_ÖNKfeladatok2019'!O$167:O$321)</f>
        <v>0</v>
      </c>
      <c r="L50" s="783">
        <f>+SUMIF('13.mell_ÖNKfeladatok2019'!$B$167:$B$321,'14.mell_Önk kiegészítés2019'!$A50,'13.mell_ÖNKfeladatok2019'!S$167:S$321)</f>
        <v>0</v>
      </c>
      <c r="M50" s="783">
        <f>+SUMIF('13.mell_ÖNKfeladatok2019'!$B$167:$B$321,'14.mell_Önk kiegészítés2019'!$A50,'13.mell_ÖNKfeladatok2019'!W$167:W$321)</f>
        <v>0</v>
      </c>
      <c r="N50" s="783">
        <f>+SUMIF('13.mell_ÖNKfeladatok2019'!$B$167:$B$321,'14.mell_Önk kiegészítés2019'!$A50,'13.mell_ÖNKfeladatok2019'!AA$167:AA$321)</f>
        <v>0</v>
      </c>
      <c r="O50" s="783">
        <f>+SUMIF('13.mell_ÖNKfeladatok2019'!$B$167:$B$321,'14.mell_Önk kiegészítés2019'!$A50,'13.mell_ÖNKfeladatok2019'!AE$167:AE$321)</f>
        <v>0</v>
      </c>
      <c r="P50" s="783">
        <f>+SUMIF('13.mell_ÖNKfeladatok2019'!$B$167:$B$321,'14.mell_Önk kiegészítés2019'!$A50,'13.mell_ÖNKfeladatok2019'!AM$167:AM$321)</f>
        <v>0</v>
      </c>
      <c r="Q50" s="783">
        <f>+SUMIF('13.mell_ÖNKfeladatok2019'!$B$167:$B$321,'14.mell_Önk kiegészítés2019'!$A50,'13.mell_ÖNKfeladatok2019'!AQ$167:AQ$321)</f>
        <v>0</v>
      </c>
      <c r="R50" s="783">
        <f>+SUMIF('13.mell_ÖNKfeladatok2019'!$B$167:$B$321,'14.mell_Önk kiegészítés2019'!$A50,'13.mell_ÖNKfeladatok2019'!AU$167:AU$321)</f>
        <v>0</v>
      </c>
      <c r="S50" s="784">
        <f>SUM(K50:R50)</f>
        <v>0</v>
      </c>
      <c r="T50" s="502">
        <f>S50-J50</f>
        <v>0</v>
      </c>
      <c r="U50" s="1085">
        <f>+ROUND(SUMIF('10.mell_támogatások2019'!$B$6:$B$137,'14.mell_Önk kiegészítés2019'!$A50,'10.mell_támogatások2019'!D$6:D$137)/1000,0)</f>
        <v>0</v>
      </c>
      <c r="V50" s="505">
        <f>+T50-U50</f>
        <v>0</v>
      </c>
      <c r="W50" s="486"/>
      <c r="AB50" s="226"/>
      <c r="AC50" s="226"/>
      <c r="AD50" s="226"/>
      <c r="AE50" s="226"/>
      <c r="BL50" s="226"/>
      <c r="BM50" s="226"/>
      <c r="BN50" s="226"/>
      <c r="BO50" s="226"/>
      <c r="BX50" s="226"/>
      <c r="BY50" s="226"/>
      <c r="BZ50" s="226"/>
      <c r="CA50" s="226"/>
    </row>
    <row r="51" spans="1:79" s="486" customFormat="1" ht="12.75" thickBot="1">
      <c r="A51" s="458" t="s">
        <v>758</v>
      </c>
      <c r="B51" s="459" t="s">
        <v>774</v>
      </c>
      <c r="C51" s="779">
        <f>SUM(C50)</f>
        <v>0</v>
      </c>
      <c r="D51" s="779">
        <f t="shared" ref="D51" si="32">SUM(D50)</f>
        <v>0</v>
      </c>
      <c r="E51" s="779">
        <f t="shared" ref="E51:V51" si="33">SUM(E50)</f>
        <v>0</v>
      </c>
      <c r="F51" s="779">
        <f t="shared" si="33"/>
        <v>0</v>
      </c>
      <c r="G51" s="779">
        <f t="shared" si="33"/>
        <v>0</v>
      </c>
      <c r="H51" s="779">
        <f t="shared" si="33"/>
        <v>0</v>
      </c>
      <c r="I51" s="779">
        <f t="shared" si="33"/>
        <v>0</v>
      </c>
      <c r="J51" s="780">
        <f t="shared" si="33"/>
        <v>0</v>
      </c>
      <c r="K51" s="779">
        <f t="shared" si="33"/>
        <v>0</v>
      </c>
      <c r="L51" s="779">
        <f t="shared" si="33"/>
        <v>0</v>
      </c>
      <c r="M51" s="779">
        <f t="shared" si="33"/>
        <v>0</v>
      </c>
      <c r="N51" s="779">
        <f t="shared" si="33"/>
        <v>0</v>
      </c>
      <c r="O51" s="779">
        <f t="shared" si="33"/>
        <v>0</v>
      </c>
      <c r="P51" s="779">
        <f t="shared" si="33"/>
        <v>0</v>
      </c>
      <c r="Q51" s="779">
        <f t="shared" si="33"/>
        <v>0</v>
      </c>
      <c r="R51" s="779">
        <f t="shared" si="33"/>
        <v>0</v>
      </c>
      <c r="S51" s="780">
        <f t="shared" si="33"/>
        <v>0</v>
      </c>
      <c r="T51" s="779">
        <f t="shared" si="33"/>
        <v>0</v>
      </c>
      <c r="U51" s="1086">
        <f t="shared" si="33"/>
        <v>0</v>
      </c>
      <c r="V51" s="780">
        <f t="shared" si="33"/>
        <v>0</v>
      </c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6"/>
      <c r="AL51" s="226"/>
      <c r="AM51" s="226"/>
      <c r="AN51" s="226"/>
      <c r="AO51" s="226"/>
    </row>
    <row r="52" spans="1:79" s="486" customFormat="1" ht="12.75" thickBot="1">
      <c r="A52" s="452" t="s">
        <v>20</v>
      </c>
      <c r="B52" s="462" t="s">
        <v>423</v>
      </c>
      <c r="C52" s="511">
        <f>+C47+C49+C51</f>
        <v>0</v>
      </c>
      <c r="D52" s="512">
        <f t="shared" ref="D52" si="34">+D47+D49+D51</f>
        <v>0</v>
      </c>
      <c r="E52" s="512">
        <f t="shared" ref="E52:V52" si="35">+E47+E49+E51</f>
        <v>500</v>
      </c>
      <c r="F52" s="512">
        <f t="shared" si="35"/>
        <v>0</v>
      </c>
      <c r="G52" s="512">
        <f t="shared" si="35"/>
        <v>0</v>
      </c>
      <c r="H52" s="512">
        <f t="shared" si="35"/>
        <v>0</v>
      </c>
      <c r="I52" s="513">
        <f t="shared" si="35"/>
        <v>0</v>
      </c>
      <c r="J52" s="514">
        <f t="shared" si="35"/>
        <v>500</v>
      </c>
      <c r="K52" s="511">
        <f t="shared" si="35"/>
        <v>24615</v>
      </c>
      <c r="L52" s="511">
        <f t="shared" si="35"/>
        <v>4809</v>
      </c>
      <c r="M52" s="511">
        <f t="shared" si="35"/>
        <v>13797</v>
      </c>
      <c r="N52" s="511">
        <f t="shared" si="35"/>
        <v>0</v>
      </c>
      <c r="O52" s="511">
        <f t="shared" si="35"/>
        <v>0</v>
      </c>
      <c r="P52" s="511">
        <f t="shared" si="35"/>
        <v>11051</v>
      </c>
      <c r="Q52" s="511">
        <f t="shared" si="35"/>
        <v>0</v>
      </c>
      <c r="R52" s="511">
        <f t="shared" si="35"/>
        <v>0</v>
      </c>
      <c r="S52" s="514">
        <f t="shared" si="35"/>
        <v>54272</v>
      </c>
      <c r="T52" s="511">
        <f t="shared" si="35"/>
        <v>53772</v>
      </c>
      <c r="U52" s="513">
        <f t="shared" si="35"/>
        <v>19679</v>
      </c>
      <c r="V52" s="514">
        <f t="shared" si="35"/>
        <v>34093</v>
      </c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</row>
    <row r="53" spans="1:79" s="159" customFormat="1" ht="12.75" thickBot="1">
      <c r="A53" s="473"/>
      <c r="B53" s="526"/>
      <c r="C53" s="515"/>
      <c r="D53" s="516"/>
      <c r="E53" s="516"/>
      <c r="F53" s="516"/>
      <c r="G53" s="516"/>
      <c r="H53" s="516"/>
      <c r="I53" s="517"/>
      <c r="J53" s="518"/>
      <c r="K53" s="527"/>
      <c r="L53" s="527"/>
      <c r="M53" s="527"/>
      <c r="N53" s="527"/>
      <c r="O53" s="527"/>
      <c r="P53" s="527"/>
      <c r="Q53" s="527"/>
      <c r="R53" s="527"/>
      <c r="S53" s="525"/>
      <c r="T53" s="522"/>
      <c r="U53" s="1087"/>
      <c r="V53" s="525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</row>
    <row r="54" spans="1:79" ht="12.75" thickBot="1">
      <c r="A54" s="734">
        <f>+A50+1</f>
        <v>29</v>
      </c>
      <c r="B54" s="668" t="s">
        <v>864</v>
      </c>
      <c r="C54" s="772">
        <f>+SUMIF('13.mell_ÖNKfeladatok2019'!$B$5:$B$159,'14.mell_Önk kiegészítés2019'!$A54,'13.mell_ÖNKfeladatok2019'!O$5:O$159)</f>
        <v>0</v>
      </c>
      <c r="D54" s="772">
        <f>+SUMIF('13.mell_ÖNKfeladatok2019'!$B$5:$B$159,'14.mell_Önk kiegészítés2019'!$A54,'13.mell_ÖNKfeladatok2019'!S$5:S$159)</f>
        <v>0</v>
      </c>
      <c r="E54" s="772">
        <f>+SUMIF('13.mell_ÖNKfeladatok2019'!$B$5:$B$159,'14.mell_Önk kiegészítés2019'!$A54,'13.mell_ÖNKfeladatok2019'!W$5:W$159)</f>
        <v>0</v>
      </c>
      <c r="F54" s="772">
        <f>+SUMIF('13.mell_ÖNKfeladatok2019'!$B$5:$B$159,'14.mell_Önk kiegészítés2019'!$A54,'13.mell_ÖNKfeladatok2019'!AA$5:AA$159)</f>
        <v>0</v>
      </c>
      <c r="G54" s="772">
        <f>+SUMIF('13.mell_ÖNKfeladatok2019'!$B$5:$B$159,'14.mell_Önk kiegészítés2019'!$A54,'13.mell_ÖNKfeladatok2019'!AI$5:AI$159)</f>
        <v>0</v>
      </c>
      <c r="H54" s="772">
        <f>+SUMIF('13.mell_ÖNKfeladatok2019'!$B$5:$B$159,'14.mell_Önk kiegészítés2019'!$A54,'13.mell_ÖNKfeladatok2019'!AM$5:AM$159)</f>
        <v>0</v>
      </c>
      <c r="I54" s="772">
        <f>+SUMIF('13.mell_ÖNKfeladatok2019'!$B$5:$B$159,'14.mell_Önk kiegészítés2019'!$A54,'13.mell_ÖNKfeladatok2019'!AQ$5:AQ$159)</f>
        <v>0</v>
      </c>
      <c r="J54" s="669">
        <f>SUM(C54:I54)</f>
        <v>0</v>
      </c>
      <c r="K54" s="772">
        <f>+SUMIF('13.mell_ÖNKfeladatok2019'!$B$167:$B$321,'14.mell_Önk kiegészítés2019'!$A54,'13.mell_ÖNKfeladatok2019'!O$167:O$321)</f>
        <v>0</v>
      </c>
      <c r="L54" s="772">
        <f>+SUMIF('13.mell_ÖNKfeladatok2019'!$B$167:$B$321,'14.mell_Önk kiegészítés2019'!$A54,'13.mell_ÖNKfeladatok2019'!S$167:S$321)</f>
        <v>0</v>
      </c>
      <c r="M54" s="772">
        <f>+SUMIF('13.mell_ÖNKfeladatok2019'!$B$167:$B$321,'14.mell_Önk kiegészítés2019'!$A54,'13.mell_ÖNKfeladatok2019'!W$167:W$321)</f>
        <v>0</v>
      </c>
      <c r="N54" s="772">
        <f>+SUMIF('13.mell_ÖNKfeladatok2019'!$B$167:$B$321,'14.mell_Önk kiegészítés2019'!$A54,'13.mell_ÖNKfeladatok2019'!AA$167:AA$321)</f>
        <v>0</v>
      </c>
      <c r="O54" s="772">
        <f>+SUMIF('13.mell_ÖNKfeladatok2019'!$B$167:$B$321,'14.mell_Önk kiegészítés2019'!$A54,'13.mell_ÖNKfeladatok2019'!AE$167:AE$321)</f>
        <v>0</v>
      </c>
      <c r="P54" s="772">
        <f>+SUMIF('13.mell_ÖNKfeladatok2019'!$B$167:$B$321,'14.mell_Önk kiegészítés2019'!$A54,'13.mell_ÖNKfeladatok2019'!AM$167:AM$321)</f>
        <v>0</v>
      </c>
      <c r="Q54" s="772">
        <f>+SUMIF('13.mell_ÖNKfeladatok2019'!$B$167:$B$321,'14.mell_Önk kiegészítés2019'!$A54,'13.mell_ÖNKfeladatok2019'!AQ$167:AQ$321)</f>
        <v>0</v>
      </c>
      <c r="R54" s="772">
        <f>+SUMIF('13.mell_ÖNKfeladatok2019'!$B$167:$B$321,'14.mell_Önk kiegészítés2019'!$A54,'13.mell_ÖNKfeladatok2019'!AU$167:AU$321)</f>
        <v>0</v>
      </c>
      <c r="S54" s="669">
        <f>SUM(K54:R54)</f>
        <v>0</v>
      </c>
      <c r="T54" s="670">
        <f>S54-J54</f>
        <v>0</v>
      </c>
      <c r="U54" s="1082">
        <f>+ROUND(SUMIF('10.mell_támogatások2019'!$B$6:$B$137,'14.mell_Önk kiegészítés2019'!$A54,'10.mell_támogatások2019'!D$6:D$137)/1000,0)</f>
        <v>0</v>
      </c>
      <c r="V54" s="671">
        <f>+T54-U54</f>
        <v>0</v>
      </c>
      <c r="W54" s="486"/>
      <c r="AB54" s="226"/>
      <c r="AC54" s="226"/>
      <c r="AD54" s="226"/>
      <c r="AE54" s="226"/>
      <c r="BL54" s="226"/>
      <c r="BM54" s="226"/>
      <c r="BN54" s="226"/>
      <c r="BO54" s="226"/>
      <c r="BX54" s="226"/>
      <c r="BY54" s="226"/>
      <c r="BZ54" s="226"/>
      <c r="CA54" s="226"/>
    </row>
    <row r="55" spans="1:79" s="486" customFormat="1" ht="12.75" thickBot="1">
      <c r="A55" s="309" t="s">
        <v>889</v>
      </c>
      <c r="B55" s="450" t="s">
        <v>864</v>
      </c>
      <c r="C55" s="502">
        <f>SUM(C54)</f>
        <v>0</v>
      </c>
      <c r="D55" s="502">
        <f t="shared" ref="D55" si="36">SUM(D54)</f>
        <v>0</v>
      </c>
      <c r="E55" s="502">
        <f t="shared" ref="E55:V55" si="37">SUM(E54)</f>
        <v>0</v>
      </c>
      <c r="F55" s="502">
        <f t="shared" si="37"/>
        <v>0</v>
      </c>
      <c r="G55" s="502">
        <f t="shared" si="37"/>
        <v>0</v>
      </c>
      <c r="H55" s="502">
        <f t="shared" si="37"/>
        <v>0</v>
      </c>
      <c r="I55" s="502">
        <f t="shared" si="37"/>
        <v>0</v>
      </c>
      <c r="J55" s="505">
        <f t="shared" si="37"/>
        <v>0</v>
      </c>
      <c r="K55" s="502">
        <f t="shared" si="37"/>
        <v>0</v>
      </c>
      <c r="L55" s="502">
        <f t="shared" si="37"/>
        <v>0</v>
      </c>
      <c r="M55" s="502">
        <f t="shared" si="37"/>
        <v>0</v>
      </c>
      <c r="N55" s="502">
        <f t="shared" si="37"/>
        <v>0</v>
      </c>
      <c r="O55" s="502">
        <f t="shared" si="37"/>
        <v>0</v>
      </c>
      <c r="P55" s="502">
        <f t="shared" si="37"/>
        <v>0</v>
      </c>
      <c r="Q55" s="502">
        <f t="shared" si="37"/>
        <v>0</v>
      </c>
      <c r="R55" s="502">
        <f t="shared" si="37"/>
        <v>0</v>
      </c>
      <c r="S55" s="505">
        <f t="shared" si="37"/>
        <v>0</v>
      </c>
      <c r="T55" s="502">
        <f t="shared" si="37"/>
        <v>0</v>
      </c>
      <c r="U55" s="506">
        <f t="shared" si="37"/>
        <v>0</v>
      </c>
      <c r="V55" s="505">
        <f t="shared" si="37"/>
        <v>0</v>
      </c>
      <c r="AA55" s="226"/>
      <c r="AB55" s="226"/>
      <c r="AC55" s="226"/>
      <c r="AD55" s="226"/>
      <c r="AE55" s="226"/>
      <c r="AF55" s="226"/>
      <c r="AG55" s="226"/>
      <c r="AH55" s="226"/>
      <c r="AI55" s="226"/>
      <c r="AJ55" s="226"/>
      <c r="AK55" s="226"/>
      <c r="AL55" s="226"/>
      <c r="AM55" s="226"/>
      <c r="AN55" s="226"/>
      <c r="AO55" s="226"/>
    </row>
    <row r="56" spans="1:79" ht="12.75" thickBot="1">
      <c r="A56" s="781">
        <f>+A54+1</f>
        <v>30</v>
      </c>
      <c r="B56" s="782" t="s">
        <v>1086</v>
      </c>
      <c r="C56" s="783">
        <f>+SUMIF('13.mell_ÖNKfeladatok2019'!$B$5:$B$159,'14.mell_Önk kiegészítés2019'!$A56,'13.mell_ÖNKfeladatok2019'!O$5:O$159)</f>
        <v>3240</v>
      </c>
      <c r="D56" s="783">
        <f>+SUMIF('13.mell_ÖNKfeladatok2019'!$B$5:$B$159,'14.mell_Önk kiegészítés2019'!$A56,'13.mell_ÖNKfeladatok2019'!S$5:S$159)</f>
        <v>12570</v>
      </c>
      <c r="E56" s="783">
        <f>+SUMIF('13.mell_ÖNKfeladatok2019'!$B$5:$B$159,'14.mell_Önk kiegészítés2019'!$A56,'13.mell_ÖNKfeladatok2019'!W$5:W$159)</f>
        <v>0</v>
      </c>
      <c r="F56" s="783">
        <f>+SUMIF('13.mell_ÖNKfeladatok2019'!$B$5:$B$159,'14.mell_Önk kiegészítés2019'!$A56,'13.mell_ÖNKfeladatok2019'!AA$5:AA$159)</f>
        <v>0</v>
      </c>
      <c r="G56" s="783">
        <f>+SUMIF('13.mell_ÖNKfeladatok2019'!$B$5:$B$159,'14.mell_Önk kiegészítés2019'!$A56,'13.mell_ÖNKfeladatok2019'!AI$5:AI$159)</f>
        <v>0</v>
      </c>
      <c r="H56" s="783">
        <f>+SUMIF('13.mell_ÖNKfeladatok2019'!$B$5:$B$159,'14.mell_Önk kiegészítés2019'!$A56,'13.mell_ÖNKfeladatok2019'!AM$5:AM$159)</f>
        <v>0</v>
      </c>
      <c r="I56" s="783">
        <f>+SUMIF('13.mell_ÖNKfeladatok2019'!$B$5:$B$159,'14.mell_Önk kiegészítés2019'!$A56,'13.mell_ÖNKfeladatok2019'!AQ$5:AQ$159)</f>
        <v>0</v>
      </c>
      <c r="J56" s="784">
        <f>SUM(C56:I56)</f>
        <v>15810</v>
      </c>
      <c r="K56" s="783">
        <f>+SUMIF('13.mell_ÖNKfeladatok2019'!$B$167:$B$321,'14.mell_Önk kiegészítés2019'!$A56,'13.mell_ÖNKfeladatok2019'!O$167:O$321)</f>
        <v>8952</v>
      </c>
      <c r="L56" s="783">
        <f>+SUMIF('13.mell_ÖNKfeladatok2019'!$B$167:$B$321,'14.mell_Önk kiegészítés2019'!$A56,'13.mell_ÖNKfeladatok2019'!S$167:S$321)</f>
        <v>1433</v>
      </c>
      <c r="M56" s="783">
        <f>+SUMIF('13.mell_ÖNKfeladatok2019'!$B$167:$B$321,'14.mell_Önk kiegészítés2019'!$A56,'13.mell_ÖNKfeladatok2019'!W$167:W$321)</f>
        <v>1035</v>
      </c>
      <c r="N56" s="783">
        <f>+SUMIF('13.mell_ÖNKfeladatok2019'!$B$167:$B$321,'14.mell_Önk kiegészítés2019'!$A56,'13.mell_ÖNKfeladatok2019'!AA$167:AA$321)</f>
        <v>0</v>
      </c>
      <c r="O56" s="783">
        <f>+SUMIF('13.mell_ÖNKfeladatok2019'!$B$167:$B$321,'14.mell_Önk kiegészítés2019'!$A56,'13.mell_ÖNKfeladatok2019'!AE$167:AE$321)</f>
        <v>3090</v>
      </c>
      <c r="P56" s="783">
        <f>+SUMIF('13.mell_ÖNKfeladatok2019'!$B$167:$B$321,'14.mell_Önk kiegészítés2019'!$A56,'13.mell_ÖNKfeladatok2019'!AM$167:AM$321)</f>
        <v>1300</v>
      </c>
      <c r="Q56" s="783">
        <f>+SUMIF('13.mell_ÖNKfeladatok2019'!$B$167:$B$321,'14.mell_Önk kiegészítés2019'!$A56,'13.mell_ÖNKfeladatok2019'!AQ$167:AQ$321)</f>
        <v>0</v>
      </c>
      <c r="R56" s="783">
        <f>+SUMIF('13.mell_ÖNKfeladatok2019'!$B$167:$B$321,'14.mell_Önk kiegészítés2019'!$A56,'13.mell_ÖNKfeladatok2019'!AU$167:AU$321)</f>
        <v>0</v>
      </c>
      <c r="S56" s="784">
        <f>SUM(K56:R56)</f>
        <v>15810</v>
      </c>
      <c r="T56" s="502">
        <f>S56-J56</f>
        <v>0</v>
      </c>
      <c r="U56" s="1085">
        <f>+ROUND(SUMIF('10.mell_támogatások2019'!$B$6:$B$137,'14.mell_Önk kiegészítés2019'!$A56,'10.mell_támogatások2019'!D$6:D$137)/1000,0)</f>
        <v>0</v>
      </c>
      <c r="V56" s="505">
        <f>+T56-U56</f>
        <v>0</v>
      </c>
      <c r="W56" s="486"/>
      <c r="AB56" s="226"/>
      <c r="AC56" s="226"/>
      <c r="AD56" s="226"/>
      <c r="AE56" s="226"/>
      <c r="BL56" s="226"/>
      <c r="BM56" s="226"/>
      <c r="BN56" s="226"/>
      <c r="BO56" s="226"/>
      <c r="BX56" s="226"/>
      <c r="BY56" s="226"/>
      <c r="BZ56" s="226"/>
      <c r="CA56" s="226"/>
    </row>
    <row r="57" spans="1:79" s="486" customFormat="1" ht="12.75" thickBot="1">
      <c r="A57" s="458" t="s">
        <v>890</v>
      </c>
      <c r="B57" s="459" t="s">
        <v>865</v>
      </c>
      <c r="C57" s="502">
        <f>SUM(C56)</f>
        <v>3240</v>
      </c>
      <c r="D57" s="502">
        <f t="shared" ref="D57" si="38">SUM(D56)</f>
        <v>12570</v>
      </c>
      <c r="E57" s="502">
        <f t="shared" ref="E57:V57" si="39">SUM(E56)</f>
        <v>0</v>
      </c>
      <c r="F57" s="502">
        <f t="shared" si="39"/>
        <v>0</v>
      </c>
      <c r="G57" s="502">
        <f t="shared" si="39"/>
        <v>0</v>
      </c>
      <c r="H57" s="502">
        <f t="shared" si="39"/>
        <v>0</v>
      </c>
      <c r="I57" s="502">
        <f t="shared" si="39"/>
        <v>0</v>
      </c>
      <c r="J57" s="505">
        <f t="shared" si="39"/>
        <v>15810</v>
      </c>
      <c r="K57" s="502">
        <f t="shared" si="39"/>
        <v>8952</v>
      </c>
      <c r="L57" s="502">
        <f t="shared" si="39"/>
        <v>1433</v>
      </c>
      <c r="M57" s="502">
        <f t="shared" si="39"/>
        <v>1035</v>
      </c>
      <c r="N57" s="502">
        <f t="shared" si="39"/>
        <v>0</v>
      </c>
      <c r="O57" s="502">
        <f t="shared" si="39"/>
        <v>3090</v>
      </c>
      <c r="P57" s="502">
        <f t="shared" si="39"/>
        <v>1300</v>
      </c>
      <c r="Q57" s="502">
        <f t="shared" si="39"/>
        <v>0</v>
      </c>
      <c r="R57" s="502">
        <f t="shared" si="39"/>
        <v>0</v>
      </c>
      <c r="S57" s="505">
        <f t="shared" si="39"/>
        <v>15810</v>
      </c>
      <c r="T57" s="502">
        <f t="shared" si="39"/>
        <v>0</v>
      </c>
      <c r="U57" s="506">
        <f t="shared" si="39"/>
        <v>0</v>
      </c>
      <c r="V57" s="505">
        <f t="shared" si="39"/>
        <v>0</v>
      </c>
      <c r="AA57" s="226"/>
      <c r="AB57" s="226"/>
      <c r="AC57" s="226"/>
      <c r="AD57" s="226"/>
      <c r="AE57" s="226"/>
      <c r="AF57" s="226"/>
      <c r="AG57" s="226"/>
      <c r="AH57" s="226"/>
      <c r="AI57" s="226"/>
      <c r="AJ57" s="226"/>
      <c r="AK57" s="226"/>
      <c r="AL57" s="226"/>
      <c r="AM57" s="226"/>
      <c r="AN57" s="226"/>
      <c r="AO57" s="226"/>
    </row>
    <row r="58" spans="1:79" ht="12.75" thickBot="1">
      <c r="A58" s="781">
        <f>+A56+1</f>
        <v>31</v>
      </c>
      <c r="B58" s="782" t="s">
        <v>892</v>
      </c>
      <c r="C58" s="783">
        <f>+SUMIF('13.mell_ÖNKfeladatok2019'!$B$5:$B$159,'14.mell_Önk kiegészítés2019'!$A58,'13.mell_ÖNKfeladatok2019'!O$5:O$159)</f>
        <v>0</v>
      </c>
      <c r="D58" s="783">
        <f>+SUMIF('13.mell_ÖNKfeladatok2019'!$B$5:$B$159,'14.mell_Önk kiegészítés2019'!$A58,'13.mell_ÖNKfeladatok2019'!S$5:S$159)</f>
        <v>0</v>
      </c>
      <c r="E58" s="783">
        <f>+SUMIF('13.mell_ÖNKfeladatok2019'!$B$5:$B$159,'14.mell_Önk kiegészítés2019'!$A58,'13.mell_ÖNKfeladatok2019'!W$5:W$159)</f>
        <v>0</v>
      </c>
      <c r="F58" s="783">
        <f>+SUMIF('13.mell_ÖNKfeladatok2019'!$B$5:$B$159,'14.mell_Önk kiegészítés2019'!$A58,'13.mell_ÖNKfeladatok2019'!AA$5:AA$159)</f>
        <v>0</v>
      </c>
      <c r="G58" s="783">
        <f>+SUMIF('13.mell_ÖNKfeladatok2019'!$B$5:$B$159,'14.mell_Önk kiegészítés2019'!$A58,'13.mell_ÖNKfeladatok2019'!AI$5:AI$159)</f>
        <v>0</v>
      </c>
      <c r="H58" s="783">
        <f>+SUMIF('13.mell_ÖNKfeladatok2019'!$B$5:$B$159,'14.mell_Önk kiegészítés2019'!$A58,'13.mell_ÖNKfeladatok2019'!AM$5:AM$159)</f>
        <v>0</v>
      </c>
      <c r="I58" s="783">
        <f>+SUMIF('13.mell_ÖNKfeladatok2019'!$B$5:$B$159,'14.mell_Önk kiegészítés2019'!$A58,'13.mell_ÖNKfeladatok2019'!AQ$5:AQ$159)</f>
        <v>0</v>
      </c>
      <c r="J58" s="784">
        <f>SUM(C58:I58)</f>
        <v>0</v>
      </c>
      <c r="K58" s="783">
        <f>+SUMIF('13.mell_ÖNKfeladatok2019'!$B$167:$B$321,'14.mell_Önk kiegészítés2019'!$A58,'13.mell_ÖNKfeladatok2019'!O$167:O$321)</f>
        <v>0</v>
      </c>
      <c r="L58" s="783">
        <f>+SUMIF('13.mell_ÖNKfeladatok2019'!$B$167:$B$321,'14.mell_Önk kiegészítés2019'!$A58,'13.mell_ÖNKfeladatok2019'!S$167:S$321)</f>
        <v>0</v>
      </c>
      <c r="M58" s="783">
        <f>+SUMIF('13.mell_ÖNKfeladatok2019'!$B$167:$B$321,'14.mell_Önk kiegészítés2019'!$A58,'13.mell_ÖNKfeladatok2019'!W$167:W$321)</f>
        <v>0</v>
      </c>
      <c r="N58" s="783">
        <f>+SUMIF('13.mell_ÖNKfeladatok2019'!$B$167:$B$321,'14.mell_Önk kiegészítés2019'!$A58,'13.mell_ÖNKfeladatok2019'!AA$167:AA$321)</f>
        <v>0</v>
      </c>
      <c r="O58" s="783">
        <f>+SUMIF('13.mell_ÖNKfeladatok2019'!$B$167:$B$321,'14.mell_Önk kiegészítés2019'!$A58,'13.mell_ÖNKfeladatok2019'!AE$167:AE$321)</f>
        <v>0</v>
      </c>
      <c r="P58" s="783">
        <f>+SUMIF('13.mell_ÖNKfeladatok2019'!$B$167:$B$321,'14.mell_Önk kiegészítés2019'!$A58,'13.mell_ÖNKfeladatok2019'!AM$167:AM$321)</f>
        <v>0</v>
      </c>
      <c r="Q58" s="783">
        <f>+SUMIF('13.mell_ÖNKfeladatok2019'!$B$167:$B$321,'14.mell_Önk kiegészítés2019'!$A58,'13.mell_ÖNKfeladatok2019'!AQ$167:AQ$321)</f>
        <v>0</v>
      </c>
      <c r="R58" s="783">
        <f>+SUMIF('13.mell_ÖNKfeladatok2019'!$B$167:$B$321,'14.mell_Önk kiegészítés2019'!$A58,'13.mell_ÖNKfeladatok2019'!AU$167:AU$321)</f>
        <v>0</v>
      </c>
      <c r="S58" s="784">
        <f>SUM(K58:R58)</f>
        <v>0</v>
      </c>
      <c r="T58" s="502">
        <f>S58-J58</f>
        <v>0</v>
      </c>
      <c r="U58" s="1085">
        <f>+ROUND(SUMIF('10.mell_támogatások2019'!$B$6:$B$137,'14.mell_Önk kiegészítés2019'!$A58,'10.mell_támogatások2019'!D$6:D$137)/1000,0)</f>
        <v>0</v>
      </c>
      <c r="V58" s="505">
        <f>+T58-U58</f>
        <v>0</v>
      </c>
      <c r="W58" s="486"/>
      <c r="AB58" s="226"/>
      <c r="AC58" s="226"/>
      <c r="AD58" s="226"/>
      <c r="AE58" s="226"/>
      <c r="BL58" s="226"/>
      <c r="BM58" s="226"/>
      <c r="BN58" s="226"/>
      <c r="BO58" s="226"/>
      <c r="BX58" s="226"/>
      <c r="BY58" s="226"/>
      <c r="BZ58" s="226"/>
      <c r="CA58" s="226"/>
    </row>
    <row r="59" spans="1:79" s="486" customFormat="1" ht="12.75" thickBot="1">
      <c r="A59" s="458" t="s">
        <v>891</v>
      </c>
      <c r="B59" s="459" t="s">
        <v>892</v>
      </c>
      <c r="C59" s="502">
        <f>SUM(C58)</f>
        <v>0</v>
      </c>
      <c r="D59" s="502">
        <f t="shared" ref="D59" si="40">SUM(D58)</f>
        <v>0</v>
      </c>
      <c r="E59" s="502">
        <f t="shared" ref="E59:V59" si="41">SUM(E58)</f>
        <v>0</v>
      </c>
      <c r="F59" s="502">
        <f t="shared" si="41"/>
        <v>0</v>
      </c>
      <c r="G59" s="502">
        <f t="shared" si="41"/>
        <v>0</v>
      </c>
      <c r="H59" s="502">
        <f t="shared" si="41"/>
        <v>0</v>
      </c>
      <c r="I59" s="502">
        <f t="shared" si="41"/>
        <v>0</v>
      </c>
      <c r="J59" s="505">
        <f t="shared" si="41"/>
        <v>0</v>
      </c>
      <c r="K59" s="502">
        <f t="shared" si="41"/>
        <v>0</v>
      </c>
      <c r="L59" s="502">
        <f t="shared" si="41"/>
        <v>0</v>
      </c>
      <c r="M59" s="502">
        <f t="shared" si="41"/>
        <v>0</v>
      </c>
      <c r="N59" s="502">
        <f t="shared" si="41"/>
        <v>0</v>
      </c>
      <c r="O59" s="502">
        <f t="shared" si="41"/>
        <v>0</v>
      </c>
      <c r="P59" s="502">
        <f t="shared" si="41"/>
        <v>0</v>
      </c>
      <c r="Q59" s="502">
        <f t="shared" si="41"/>
        <v>0</v>
      </c>
      <c r="R59" s="502">
        <f t="shared" si="41"/>
        <v>0</v>
      </c>
      <c r="S59" s="505">
        <f t="shared" si="41"/>
        <v>0</v>
      </c>
      <c r="T59" s="502">
        <f t="shared" si="41"/>
        <v>0</v>
      </c>
      <c r="U59" s="506">
        <f t="shared" si="41"/>
        <v>0</v>
      </c>
      <c r="V59" s="505">
        <f t="shared" si="41"/>
        <v>0</v>
      </c>
      <c r="AA59" s="226"/>
      <c r="AB59" s="226"/>
      <c r="AC59" s="226"/>
      <c r="AD59" s="226"/>
      <c r="AE59" s="226"/>
      <c r="AF59" s="226"/>
      <c r="AG59" s="226"/>
      <c r="AH59" s="226"/>
      <c r="AI59" s="226"/>
      <c r="AJ59" s="226"/>
      <c r="AK59" s="226"/>
      <c r="AL59" s="226"/>
      <c r="AM59" s="226"/>
      <c r="AN59" s="226"/>
      <c r="AO59" s="226"/>
    </row>
    <row r="60" spans="1:79" s="486" customFormat="1" ht="12.75" thickBot="1">
      <c r="A60" s="452" t="s">
        <v>560</v>
      </c>
      <c r="B60" s="462" t="s">
        <v>866</v>
      </c>
      <c r="C60" s="511">
        <f>+C55+C57+C59</f>
        <v>3240</v>
      </c>
      <c r="D60" s="511">
        <f t="shared" ref="D60" si="42">+D55+D57+D59</f>
        <v>12570</v>
      </c>
      <c r="E60" s="511">
        <f t="shared" ref="E60:V60" si="43">+E55+E57+E59</f>
        <v>0</v>
      </c>
      <c r="F60" s="511">
        <f t="shared" si="43"/>
        <v>0</v>
      </c>
      <c r="G60" s="511">
        <f t="shared" si="43"/>
        <v>0</v>
      </c>
      <c r="H60" s="511">
        <f t="shared" si="43"/>
        <v>0</v>
      </c>
      <c r="I60" s="511">
        <f t="shared" si="43"/>
        <v>0</v>
      </c>
      <c r="J60" s="514">
        <f t="shared" si="43"/>
        <v>15810</v>
      </c>
      <c r="K60" s="511">
        <f t="shared" si="43"/>
        <v>8952</v>
      </c>
      <c r="L60" s="511">
        <f t="shared" si="43"/>
        <v>1433</v>
      </c>
      <c r="M60" s="511">
        <f t="shared" si="43"/>
        <v>1035</v>
      </c>
      <c r="N60" s="511">
        <f t="shared" si="43"/>
        <v>0</v>
      </c>
      <c r="O60" s="511">
        <f t="shared" si="43"/>
        <v>3090</v>
      </c>
      <c r="P60" s="511">
        <f t="shared" si="43"/>
        <v>1300</v>
      </c>
      <c r="Q60" s="511">
        <f t="shared" si="43"/>
        <v>0</v>
      </c>
      <c r="R60" s="511">
        <f t="shared" si="43"/>
        <v>0</v>
      </c>
      <c r="S60" s="514">
        <f t="shared" si="43"/>
        <v>15810</v>
      </c>
      <c r="T60" s="511">
        <f t="shared" si="43"/>
        <v>0</v>
      </c>
      <c r="U60" s="513">
        <f t="shared" si="43"/>
        <v>0</v>
      </c>
      <c r="V60" s="514">
        <f t="shared" si="43"/>
        <v>0</v>
      </c>
      <c r="AA60" s="226"/>
      <c r="AB60" s="226"/>
      <c r="AC60" s="226"/>
      <c r="AD60" s="226"/>
      <c r="AE60" s="226"/>
      <c r="AF60" s="226"/>
      <c r="AG60" s="226"/>
      <c r="AH60" s="226"/>
      <c r="AI60" s="226"/>
      <c r="AJ60" s="226"/>
      <c r="AK60" s="226"/>
      <c r="AL60" s="226"/>
      <c r="AM60" s="226"/>
      <c r="AN60" s="226"/>
      <c r="AO60" s="226"/>
    </row>
    <row r="61" spans="1:79" s="159" customFormat="1" ht="12.75" thickBot="1">
      <c r="A61" s="473"/>
      <c r="B61" s="526"/>
      <c r="C61" s="515"/>
      <c r="D61" s="516"/>
      <c r="E61" s="516"/>
      <c r="F61" s="516"/>
      <c r="G61" s="516"/>
      <c r="H61" s="516"/>
      <c r="I61" s="517"/>
      <c r="J61" s="518"/>
      <c r="K61" s="527"/>
      <c r="L61" s="527"/>
      <c r="M61" s="527"/>
      <c r="N61" s="527"/>
      <c r="O61" s="527"/>
      <c r="P61" s="527"/>
      <c r="Q61" s="527"/>
      <c r="R61" s="527"/>
      <c r="S61" s="525"/>
      <c r="T61" s="522"/>
      <c r="U61" s="1087"/>
      <c r="V61" s="525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</row>
    <row r="62" spans="1:79" ht="12.75" thickBot="1">
      <c r="A62" s="734">
        <f>+A58+1</f>
        <v>32</v>
      </c>
      <c r="B62" s="668" t="s">
        <v>1169</v>
      </c>
      <c r="C62" s="772">
        <f>+SUMIF('13.mell_ÖNKfeladatok2019'!$B$5:$B$159,'14.mell_Önk kiegészítés2019'!$A62,'13.mell_ÖNKfeladatok2019'!O$5:O$159)</f>
        <v>0</v>
      </c>
      <c r="D62" s="772">
        <f>+SUMIF('13.mell_ÖNKfeladatok2019'!$B$5:$B$159,'14.mell_Önk kiegészítés2019'!$A62,'13.mell_ÖNKfeladatok2019'!S$5:S$159)</f>
        <v>0</v>
      </c>
      <c r="E62" s="772">
        <f>+SUMIF('13.mell_ÖNKfeladatok2019'!$B$5:$B$159,'14.mell_Önk kiegészítés2019'!$A62,'13.mell_ÖNKfeladatok2019'!W$5:W$159)</f>
        <v>0</v>
      </c>
      <c r="F62" s="772">
        <f>+SUMIF('13.mell_ÖNKfeladatok2019'!$B$5:$B$159,'14.mell_Önk kiegészítés2019'!$A62,'13.mell_ÖNKfeladatok2019'!AA$5:AA$159)</f>
        <v>0</v>
      </c>
      <c r="G62" s="772">
        <f>+SUMIF('13.mell_ÖNKfeladatok2019'!$B$5:$B$159,'14.mell_Önk kiegészítés2019'!$A62,'13.mell_ÖNKfeladatok2019'!AI$5:AI$159)</f>
        <v>0</v>
      </c>
      <c r="H62" s="772">
        <f>+SUMIF('13.mell_ÖNKfeladatok2019'!$B$5:$B$159,'14.mell_Önk kiegészítés2019'!$A62,'13.mell_ÖNKfeladatok2019'!AM$5:AM$159)</f>
        <v>0</v>
      </c>
      <c r="I62" s="772">
        <f>+SUMIF('13.mell_ÖNKfeladatok2019'!$B$5:$B$159,'14.mell_Önk kiegészítés2019'!$A62,'13.mell_ÖNKfeladatok2019'!AQ$5:AQ$159)</f>
        <v>0</v>
      </c>
      <c r="J62" s="669">
        <f>SUM(C62:I62)</f>
        <v>0</v>
      </c>
      <c r="K62" s="772">
        <f>+SUMIF('13.mell_ÖNKfeladatok2019'!$B$167:$B$321,'14.mell_Önk kiegészítés2019'!$A62,'13.mell_ÖNKfeladatok2019'!O$167:O$321)</f>
        <v>54370</v>
      </c>
      <c r="L62" s="772">
        <f>+SUMIF('13.mell_ÖNKfeladatok2019'!$B$167:$B$321,'14.mell_Önk kiegészítés2019'!$A62,'13.mell_ÖNKfeladatok2019'!S$167:S$321)</f>
        <v>10571</v>
      </c>
      <c r="M62" s="772">
        <f>+SUMIF('13.mell_ÖNKfeladatok2019'!$B$167:$B$321,'14.mell_Önk kiegészítés2019'!$A62,'13.mell_ÖNKfeladatok2019'!W$167:W$321)</f>
        <v>8920</v>
      </c>
      <c r="N62" s="772">
        <f>+SUMIF('13.mell_ÖNKfeladatok2019'!$B$167:$B$321,'14.mell_Önk kiegészítés2019'!$A62,'13.mell_ÖNKfeladatok2019'!AA$167:AA$321)</f>
        <v>0</v>
      </c>
      <c r="O62" s="772">
        <f>+SUMIF('13.mell_ÖNKfeladatok2019'!$B$167:$B$321,'14.mell_Önk kiegészítés2019'!$A62,'13.mell_ÖNKfeladatok2019'!AE$167:AE$321)</f>
        <v>0</v>
      </c>
      <c r="P62" s="772">
        <f>+SUMIF('13.mell_ÖNKfeladatok2019'!$B$167:$B$321,'14.mell_Önk kiegészítés2019'!$A62,'13.mell_ÖNKfeladatok2019'!AM$167:AM$321)</f>
        <v>0</v>
      </c>
      <c r="Q62" s="772">
        <f>+SUMIF('13.mell_ÖNKfeladatok2019'!$B$167:$B$321,'14.mell_Önk kiegészítés2019'!$A62,'13.mell_ÖNKfeladatok2019'!AQ$167:AQ$321)</f>
        <v>0</v>
      </c>
      <c r="R62" s="772">
        <f>+SUMIF('13.mell_ÖNKfeladatok2019'!$B$167:$B$321,'14.mell_Önk kiegészítés2019'!$A62,'13.mell_ÖNKfeladatok2019'!AU$167:AU$321)</f>
        <v>0</v>
      </c>
      <c r="S62" s="669">
        <f>SUM(K62:R62)</f>
        <v>73861</v>
      </c>
      <c r="T62" s="670">
        <f>S62-J62</f>
        <v>73861</v>
      </c>
      <c r="U62" s="1082">
        <f>+ROUND(SUMIF('10.mell_támogatások2019'!$B$6:$B$137,'14.mell_Önk kiegészítés2019'!$A62,'10.mell_támogatások2019'!D$6:D$137)/1000,0)</f>
        <v>73861</v>
      </c>
      <c r="V62" s="671">
        <f>+T62-U62</f>
        <v>0</v>
      </c>
      <c r="W62" s="486"/>
      <c r="AB62" s="226"/>
      <c r="AC62" s="226"/>
      <c r="AD62" s="226"/>
      <c r="AE62" s="226"/>
      <c r="BL62" s="226"/>
      <c r="BM62" s="226"/>
      <c r="BN62" s="226"/>
      <c r="BO62" s="226"/>
      <c r="BX62" s="226"/>
      <c r="BY62" s="226"/>
      <c r="BZ62" s="226"/>
      <c r="CA62" s="226"/>
    </row>
    <row r="63" spans="1:79" s="486" customFormat="1" ht="12.75" thickBot="1">
      <c r="A63" s="309" t="s">
        <v>1157</v>
      </c>
      <c r="B63" s="450" t="s">
        <v>1109</v>
      </c>
      <c r="C63" s="502">
        <f t="shared" ref="C63" si="44">SUM(C62)</f>
        <v>0</v>
      </c>
      <c r="D63" s="502">
        <f t="shared" ref="D63:V63" si="45">SUM(D62)</f>
        <v>0</v>
      </c>
      <c r="E63" s="502">
        <f t="shared" si="45"/>
        <v>0</v>
      </c>
      <c r="F63" s="502">
        <f t="shared" si="45"/>
        <v>0</v>
      </c>
      <c r="G63" s="502">
        <f t="shared" si="45"/>
        <v>0</v>
      </c>
      <c r="H63" s="502">
        <f t="shared" si="45"/>
        <v>0</v>
      </c>
      <c r="I63" s="502">
        <f t="shared" si="45"/>
        <v>0</v>
      </c>
      <c r="J63" s="505">
        <f t="shared" si="45"/>
        <v>0</v>
      </c>
      <c r="K63" s="502">
        <f t="shared" si="45"/>
        <v>54370</v>
      </c>
      <c r="L63" s="502">
        <f t="shared" si="45"/>
        <v>10571</v>
      </c>
      <c r="M63" s="502">
        <f t="shared" si="45"/>
        <v>8920</v>
      </c>
      <c r="N63" s="502">
        <f t="shared" si="45"/>
        <v>0</v>
      </c>
      <c r="O63" s="502">
        <f t="shared" si="45"/>
        <v>0</v>
      </c>
      <c r="P63" s="502">
        <f t="shared" si="45"/>
        <v>0</v>
      </c>
      <c r="Q63" s="502">
        <f t="shared" si="45"/>
        <v>0</v>
      </c>
      <c r="R63" s="502">
        <f t="shared" si="45"/>
        <v>0</v>
      </c>
      <c r="S63" s="505">
        <f t="shared" si="45"/>
        <v>73861</v>
      </c>
      <c r="T63" s="502">
        <f t="shared" si="45"/>
        <v>73861</v>
      </c>
      <c r="U63" s="506">
        <f t="shared" si="45"/>
        <v>73861</v>
      </c>
      <c r="V63" s="505">
        <f t="shared" si="45"/>
        <v>0</v>
      </c>
      <c r="AA63" s="226"/>
      <c r="AB63" s="226"/>
      <c r="AC63" s="226"/>
      <c r="AD63" s="226"/>
      <c r="AE63" s="226"/>
      <c r="AF63" s="226"/>
      <c r="AG63" s="226"/>
      <c r="AH63" s="226"/>
      <c r="AI63" s="226"/>
      <c r="AJ63" s="226"/>
      <c r="AK63" s="226"/>
      <c r="AL63" s="226"/>
      <c r="AM63" s="226"/>
      <c r="AN63" s="226"/>
      <c r="AO63" s="226"/>
    </row>
    <row r="64" spans="1:79" ht="12.75" thickBot="1">
      <c r="A64" s="781">
        <f>+A62+1</f>
        <v>33</v>
      </c>
      <c r="B64" s="782" t="s">
        <v>1111</v>
      </c>
      <c r="C64" s="783">
        <f>+SUMIF('13.mell_ÖNKfeladatok2019'!$B$5:$B$159,'14.mell_Önk kiegészítés2019'!$A64,'13.mell_ÖNKfeladatok2019'!O$5:O$159)</f>
        <v>0</v>
      </c>
      <c r="D64" s="783">
        <f>+SUMIF('13.mell_ÖNKfeladatok2019'!$B$5:$B$159,'14.mell_Önk kiegészítés2019'!$A64,'13.mell_ÖNKfeladatok2019'!S$5:S$159)</f>
        <v>0</v>
      </c>
      <c r="E64" s="783">
        <f>+SUMIF('13.mell_ÖNKfeladatok2019'!$B$5:$B$159,'14.mell_Önk kiegészítés2019'!$A64,'13.mell_ÖNKfeladatok2019'!W$5:W$159)</f>
        <v>0</v>
      </c>
      <c r="F64" s="783">
        <f>+SUMIF('13.mell_ÖNKfeladatok2019'!$B$5:$B$159,'14.mell_Önk kiegészítés2019'!$A64,'13.mell_ÖNKfeladatok2019'!AA$5:AA$159)</f>
        <v>0</v>
      </c>
      <c r="G64" s="783">
        <f>+SUMIF('13.mell_ÖNKfeladatok2019'!$B$5:$B$159,'14.mell_Önk kiegészítés2019'!$A64,'13.mell_ÖNKfeladatok2019'!AI$5:AI$159)</f>
        <v>0</v>
      </c>
      <c r="H64" s="783">
        <f>+SUMIF('13.mell_ÖNKfeladatok2019'!$B$5:$B$159,'14.mell_Önk kiegészítés2019'!$A64,'13.mell_ÖNKfeladatok2019'!AM$5:AM$159)</f>
        <v>0</v>
      </c>
      <c r="I64" s="783">
        <f>+SUMIF('13.mell_ÖNKfeladatok2019'!$B$5:$B$159,'14.mell_Önk kiegészítés2019'!$A64,'13.mell_ÖNKfeladatok2019'!AQ$5:AQ$159)</f>
        <v>0</v>
      </c>
      <c r="J64" s="784">
        <f>SUM(C64:I64)</f>
        <v>0</v>
      </c>
      <c r="K64" s="783">
        <f>+SUMIF('13.mell_ÖNKfeladatok2019'!$B$167:$B$321,'14.mell_Önk kiegészítés2019'!$A64,'13.mell_ÖNKfeladatok2019'!O$167:O$321)</f>
        <v>0</v>
      </c>
      <c r="L64" s="783">
        <f>+SUMIF('13.mell_ÖNKfeladatok2019'!$B$167:$B$321,'14.mell_Önk kiegészítés2019'!$A64,'13.mell_ÖNKfeladatok2019'!S$167:S$321)</f>
        <v>0</v>
      </c>
      <c r="M64" s="783">
        <f>+SUMIF('13.mell_ÖNKfeladatok2019'!$B$167:$B$321,'14.mell_Önk kiegészítés2019'!$A64,'13.mell_ÖNKfeladatok2019'!W$167:W$321)</f>
        <v>0</v>
      </c>
      <c r="N64" s="783">
        <f>+SUMIF('13.mell_ÖNKfeladatok2019'!$B$167:$B$321,'14.mell_Önk kiegészítés2019'!$A64,'13.mell_ÖNKfeladatok2019'!AA$167:AA$321)</f>
        <v>0</v>
      </c>
      <c r="O64" s="783">
        <f>+SUMIF('13.mell_ÖNKfeladatok2019'!$B$167:$B$321,'14.mell_Önk kiegészítés2019'!$A64,'13.mell_ÖNKfeladatok2019'!AE$167:AE$321)</f>
        <v>0</v>
      </c>
      <c r="P64" s="783">
        <f>+SUMIF('13.mell_ÖNKfeladatok2019'!$B$167:$B$321,'14.mell_Önk kiegészítés2019'!$A64,'13.mell_ÖNKfeladatok2019'!AM$167:AM$321)</f>
        <v>0</v>
      </c>
      <c r="Q64" s="783">
        <f>+SUMIF('13.mell_ÖNKfeladatok2019'!$B$167:$B$321,'14.mell_Önk kiegészítés2019'!$A64,'13.mell_ÖNKfeladatok2019'!AQ$167:AQ$321)</f>
        <v>0</v>
      </c>
      <c r="R64" s="783">
        <f>+SUMIF('13.mell_ÖNKfeladatok2019'!$B$167:$B$321,'14.mell_Önk kiegészítés2019'!$A64,'13.mell_ÖNKfeladatok2019'!AU$167:AU$321)</f>
        <v>0</v>
      </c>
      <c r="S64" s="784">
        <f>SUM(K64:R64)</f>
        <v>0</v>
      </c>
      <c r="T64" s="502">
        <f>S64-J64</f>
        <v>0</v>
      </c>
      <c r="U64" s="1085">
        <f>+ROUND(SUMIF('10.mell_támogatások2019'!$B$6:$B$137,'14.mell_Önk kiegészítés2019'!$A64,'10.mell_támogatások2019'!D$6:D$137)/1000,0)</f>
        <v>0</v>
      </c>
      <c r="V64" s="505">
        <f>+T64-U64</f>
        <v>0</v>
      </c>
      <c r="W64" s="486"/>
      <c r="AB64" s="226"/>
      <c r="AC64" s="226"/>
      <c r="AD64" s="226"/>
      <c r="AE64" s="226"/>
      <c r="BL64" s="226"/>
      <c r="BM64" s="226"/>
      <c r="BN64" s="226"/>
      <c r="BO64" s="226"/>
      <c r="BX64" s="226"/>
      <c r="BY64" s="226"/>
      <c r="BZ64" s="226"/>
      <c r="CA64" s="226"/>
    </row>
    <row r="65" spans="1:98" s="486" customFormat="1" ht="12.75" thickBot="1">
      <c r="A65" s="458" t="s">
        <v>1158</v>
      </c>
      <c r="B65" s="459" t="s">
        <v>1110</v>
      </c>
      <c r="C65" s="502">
        <f t="shared" ref="C65" si="46">SUM(C64)</f>
        <v>0</v>
      </c>
      <c r="D65" s="502">
        <f t="shared" ref="D65:V65" si="47">SUM(D64)</f>
        <v>0</v>
      </c>
      <c r="E65" s="502">
        <f t="shared" si="47"/>
        <v>0</v>
      </c>
      <c r="F65" s="502">
        <f t="shared" si="47"/>
        <v>0</v>
      </c>
      <c r="G65" s="502">
        <f t="shared" si="47"/>
        <v>0</v>
      </c>
      <c r="H65" s="502">
        <f t="shared" si="47"/>
        <v>0</v>
      </c>
      <c r="I65" s="502">
        <f t="shared" si="47"/>
        <v>0</v>
      </c>
      <c r="J65" s="505">
        <f t="shared" si="47"/>
        <v>0</v>
      </c>
      <c r="K65" s="502">
        <f t="shared" si="47"/>
        <v>0</v>
      </c>
      <c r="L65" s="502">
        <f t="shared" si="47"/>
        <v>0</v>
      </c>
      <c r="M65" s="502">
        <f t="shared" si="47"/>
        <v>0</v>
      </c>
      <c r="N65" s="502">
        <f t="shared" si="47"/>
        <v>0</v>
      </c>
      <c r="O65" s="502">
        <f t="shared" si="47"/>
        <v>0</v>
      </c>
      <c r="P65" s="502">
        <f t="shared" si="47"/>
        <v>0</v>
      </c>
      <c r="Q65" s="502">
        <f t="shared" si="47"/>
        <v>0</v>
      </c>
      <c r="R65" s="502">
        <f t="shared" si="47"/>
        <v>0</v>
      </c>
      <c r="S65" s="505">
        <f t="shared" si="47"/>
        <v>0</v>
      </c>
      <c r="T65" s="502">
        <f t="shared" si="47"/>
        <v>0</v>
      </c>
      <c r="U65" s="506">
        <f t="shared" si="47"/>
        <v>0</v>
      </c>
      <c r="V65" s="505">
        <f t="shared" si="47"/>
        <v>0</v>
      </c>
      <c r="AA65" s="226"/>
      <c r="AB65" s="226"/>
      <c r="AC65" s="226"/>
      <c r="AD65" s="226"/>
      <c r="AE65" s="226"/>
      <c r="AF65" s="226"/>
      <c r="AG65" s="226"/>
      <c r="AH65" s="226"/>
      <c r="AI65" s="226"/>
      <c r="AJ65" s="226"/>
      <c r="AK65" s="226"/>
      <c r="AL65" s="226"/>
      <c r="AM65" s="226"/>
      <c r="AN65" s="226"/>
      <c r="AO65" s="226"/>
    </row>
    <row r="66" spans="1:98" ht="12.75" thickBot="1">
      <c r="A66" s="781">
        <f>+A64+1</f>
        <v>34</v>
      </c>
      <c r="B66" s="782" t="s">
        <v>1111</v>
      </c>
      <c r="C66" s="783">
        <f>+SUMIF('13.mell_ÖNKfeladatok2019'!$B$5:$B$159,'14.mell_Önk kiegészítés2019'!$A66,'13.mell_ÖNKfeladatok2019'!O$5:O$159)</f>
        <v>0</v>
      </c>
      <c r="D66" s="783">
        <f>+SUMIF('13.mell_ÖNKfeladatok2019'!$B$5:$B$159,'14.mell_Önk kiegészítés2019'!$A66,'13.mell_ÖNKfeladatok2019'!S$5:S$159)</f>
        <v>0</v>
      </c>
      <c r="E66" s="783">
        <f>+SUMIF('13.mell_ÖNKfeladatok2019'!$B$5:$B$159,'14.mell_Önk kiegészítés2019'!$A66,'13.mell_ÖNKfeladatok2019'!W$5:W$159)</f>
        <v>0</v>
      </c>
      <c r="F66" s="783">
        <f>+SUMIF('13.mell_ÖNKfeladatok2019'!$B$5:$B$159,'14.mell_Önk kiegészítés2019'!$A66,'13.mell_ÖNKfeladatok2019'!AA$5:AA$159)</f>
        <v>0</v>
      </c>
      <c r="G66" s="783">
        <f>+SUMIF('13.mell_ÖNKfeladatok2019'!$B$5:$B$159,'14.mell_Önk kiegészítés2019'!$A66,'13.mell_ÖNKfeladatok2019'!AI$5:AI$159)</f>
        <v>0</v>
      </c>
      <c r="H66" s="783">
        <f>+SUMIF('13.mell_ÖNKfeladatok2019'!$B$5:$B$159,'14.mell_Önk kiegészítés2019'!$A66,'13.mell_ÖNKfeladatok2019'!AM$5:AM$159)</f>
        <v>0</v>
      </c>
      <c r="I66" s="783">
        <f>+SUMIF('13.mell_ÖNKfeladatok2019'!$B$5:$B$159,'14.mell_Önk kiegészítés2019'!$A66,'13.mell_ÖNKfeladatok2019'!AQ$5:AQ$159)</f>
        <v>0</v>
      </c>
      <c r="J66" s="784">
        <f>SUM(C66:I66)</f>
        <v>0</v>
      </c>
      <c r="K66" s="783">
        <f>+SUMIF('13.mell_ÖNKfeladatok2019'!$B$167:$B$321,'14.mell_Önk kiegészítés2019'!$A66,'13.mell_ÖNKfeladatok2019'!O$167:O$321)</f>
        <v>0</v>
      </c>
      <c r="L66" s="783">
        <f>+SUMIF('13.mell_ÖNKfeladatok2019'!$B$167:$B$321,'14.mell_Önk kiegészítés2019'!$A66,'13.mell_ÖNKfeladatok2019'!S$167:S$321)</f>
        <v>0</v>
      </c>
      <c r="M66" s="783">
        <f>+SUMIF('13.mell_ÖNKfeladatok2019'!$B$167:$B$321,'14.mell_Önk kiegészítés2019'!$A66,'13.mell_ÖNKfeladatok2019'!W$167:W$321)</f>
        <v>0</v>
      </c>
      <c r="N66" s="783">
        <f>+SUMIF('13.mell_ÖNKfeladatok2019'!$B$167:$B$321,'14.mell_Önk kiegészítés2019'!$A66,'13.mell_ÖNKfeladatok2019'!AA$167:AA$321)</f>
        <v>0</v>
      </c>
      <c r="O66" s="783">
        <f>+SUMIF('13.mell_ÖNKfeladatok2019'!$B$167:$B$321,'14.mell_Önk kiegészítés2019'!$A66,'13.mell_ÖNKfeladatok2019'!AE$167:AE$321)</f>
        <v>0</v>
      </c>
      <c r="P66" s="783">
        <f>+SUMIF('13.mell_ÖNKfeladatok2019'!$B$167:$B$321,'14.mell_Önk kiegészítés2019'!$A66,'13.mell_ÖNKfeladatok2019'!AM$167:AM$321)</f>
        <v>0</v>
      </c>
      <c r="Q66" s="783">
        <f>+SUMIF('13.mell_ÖNKfeladatok2019'!$B$167:$B$321,'14.mell_Önk kiegészítés2019'!$A66,'13.mell_ÖNKfeladatok2019'!AQ$167:AQ$321)</f>
        <v>0</v>
      </c>
      <c r="R66" s="783">
        <f>+SUMIF('13.mell_ÖNKfeladatok2019'!$B$167:$B$321,'14.mell_Önk kiegészítés2019'!$A66,'13.mell_ÖNKfeladatok2019'!AU$167:AU$321)</f>
        <v>0</v>
      </c>
      <c r="S66" s="784">
        <f>SUM(K66:R66)</f>
        <v>0</v>
      </c>
      <c r="T66" s="502">
        <f>S66-J66</f>
        <v>0</v>
      </c>
      <c r="U66" s="1085">
        <f>+ROUND(SUMIF('10.mell_támogatások2019'!$B$6:$B$137,'14.mell_Önk kiegészítés2019'!$A66,'10.mell_támogatások2019'!D$6:D$137)/1000,0)</f>
        <v>0</v>
      </c>
      <c r="V66" s="505">
        <f>+T66-U66</f>
        <v>0</v>
      </c>
      <c r="W66" s="486"/>
      <c r="AB66" s="226"/>
      <c r="AC66" s="226"/>
      <c r="AD66" s="226"/>
      <c r="AE66" s="226"/>
      <c r="BL66" s="226"/>
      <c r="BM66" s="226"/>
      <c r="BN66" s="226"/>
      <c r="BO66" s="226"/>
      <c r="BX66" s="226"/>
      <c r="BY66" s="226"/>
      <c r="BZ66" s="226"/>
      <c r="CA66" s="226"/>
    </row>
    <row r="67" spans="1:98" s="486" customFormat="1" ht="24.75" thickBot="1">
      <c r="A67" s="458" t="s">
        <v>1159</v>
      </c>
      <c r="B67" s="459" t="s">
        <v>1111</v>
      </c>
      <c r="C67" s="502">
        <f t="shared" ref="C67" si="48">SUM(C66)</f>
        <v>0</v>
      </c>
      <c r="D67" s="502">
        <f t="shared" ref="D67:V67" si="49">SUM(D66)</f>
        <v>0</v>
      </c>
      <c r="E67" s="502">
        <f t="shared" si="49"/>
        <v>0</v>
      </c>
      <c r="F67" s="502">
        <f t="shared" si="49"/>
        <v>0</v>
      </c>
      <c r="G67" s="502">
        <f t="shared" si="49"/>
        <v>0</v>
      </c>
      <c r="H67" s="502">
        <f t="shared" si="49"/>
        <v>0</v>
      </c>
      <c r="I67" s="502">
        <f t="shared" si="49"/>
        <v>0</v>
      </c>
      <c r="J67" s="505">
        <f t="shared" si="49"/>
        <v>0</v>
      </c>
      <c r="K67" s="502">
        <f t="shared" si="49"/>
        <v>0</v>
      </c>
      <c r="L67" s="502">
        <f t="shared" si="49"/>
        <v>0</v>
      </c>
      <c r="M67" s="502">
        <f t="shared" si="49"/>
        <v>0</v>
      </c>
      <c r="N67" s="502">
        <f t="shared" si="49"/>
        <v>0</v>
      </c>
      <c r="O67" s="502">
        <f t="shared" si="49"/>
        <v>0</v>
      </c>
      <c r="P67" s="502">
        <f t="shared" si="49"/>
        <v>0</v>
      </c>
      <c r="Q67" s="502">
        <f t="shared" si="49"/>
        <v>0</v>
      </c>
      <c r="R67" s="502">
        <f t="shared" si="49"/>
        <v>0</v>
      </c>
      <c r="S67" s="505">
        <f t="shared" si="49"/>
        <v>0</v>
      </c>
      <c r="T67" s="502">
        <f t="shared" si="49"/>
        <v>0</v>
      </c>
      <c r="U67" s="506">
        <f t="shared" si="49"/>
        <v>0</v>
      </c>
      <c r="V67" s="505">
        <f t="shared" si="49"/>
        <v>0</v>
      </c>
      <c r="AA67" s="226"/>
      <c r="AB67" s="226"/>
      <c r="AC67" s="226"/>
      <c r="AD67" s="226"/>
      <c r="AE67" s="226"/>
      <c r="AF67" s="226"/>
      <c r="AG67" s="226"/>
      <c r="AH67" s="226"/>
      <c r="AI67" s="226"/>
      <c r="AJ67" s="226"/>
      <c r="AK67" s="226"/>
      <c r="AL67" s="226"/>
      <c r="AM67" s="226"/>
      <c r="AN67" s="226"/>
      <c r="AO67" s="226"/>
    </row>
    <row r="68" spans="1:98" s="486" customFormat="1" ht="12.75" thickBot="1">
      <c r="A68" s="452" t="s">
        <v>42</v>
      </c>
      <c r="B68" s="462" t="s">
        <v>1112</v>
      </c>
      <c r="C68" s="511">
        <f t="shared" ref="C68" si="50">+C63+C65+C67</f>
        <v>0</v>
      </c>
      <c r="D68" s="511">
        <f t="shared" ref="D68:V68" si="51">+D63+D65+D67</f>
        <v>0</v>
      </c>
      <c r="E68" s="511">
        <f t="shared" si="51"/>
        <v>0</v>
      </c>
      <c r="F68" s="511">
        <f t="shared" si="51"/>
        <v>0</v>
      </c>
      <c r="G68" s="511">
        <f t="shared" si="51"/>
        <v>0</v>
      </c>
      <c r="H68" s="511">
        <f t="shared" si="51"/>
        <v>0</v>
      </c>
      <c r="I68" s="511">
        <f t="shared" si="51"/>
        <v>0</v>
      </c>
      <c r="J68" s="514">
        <f t="shared" si="51"/>
        <v>0</v>
      </c>
      <c r="K68" s="511">
        <f t="shared" si="51"/>
        <v>54370</v>
      </c>
      <c r="L68" s="511">
        <f t="shared" si="51"/>
        <v>10571</v>
      </c>
      <c r="M68" s="511">
        <f t="shared" si="51"/>
        <v>8920</v>
      </c>
      <c r="N68" s="511">
        <f t="shared" si="51"/>
        <v>0</v>
      </c>
      <c r="O68" s="511">
        <f t="shared" si="51"/>
        <v>0</v>
      </c>
      <c r="P68" s="511">
        <f t="shared" si="51"/>
        <v>0</v>
      </c>
      <c r="Q68" s="511">
        <f t="shared" si="51"/>
        <v>0</v>
      </c>
      <c r="R68" s="511">
        <f t="shared" si="51"/>
        <v>0</v>
      </c>
      <c r="S68" s="514">
        <f t="shared" si="51"/>
        <v>73861</v>
      </c>
      <c r="T68" s="511">
        <f t="shared" si="51"/>
        <v>73861</v>
      </c>
      <c r="U68" s="513">
        <f t="shared" si="51"/>
        <v>73861</v>
      </c>
      <c r="V68" s="514">
        <f t="shared" si="51"/>
        <v>0</v>
      </c>
      <c r="AA68" s="226"/>
      <c r="AB68" s="226"/>
      <c r="AC68" s="226"/>
      <c r="AD68" s="226"/>
      <c r="AE68" s="226"/>
      <c r="AF68" s="226"/>
      <c r="AG68" s="226"/>
      <c r="AH68" s="226"/>
      <c r="AI68" s="226"/>
      <c r="AJ68" s="226"/>
      <c r="AK68" s="226"/>
      <c r="AL68" s="226"/>
      <c r="AM68" s="226"/>
      <c r="AN68" s="226"/>
      <c r="AO68" s="226"/>
    </row>
    <row r="69" spans="1:98" s="159" customFormat="1" ht="12.75" thickBot="1">
      <c r="A69" s="473"/>
      <c r="B69" s="526"/>
      <c r="C69" s="515"/>
      <c r="D69" s="516"/>
      <c r="E69" s="516"/>
      <c r="F69" s="516"/>
      <c r="G69" s="516"/>
      <c r="H69" s="516"/>
      <c r="I69" s="517"/>
      <c r="J69" s="518"/>
      <c r="K69" s="527"/>
      <c r="L69" s="527"/>
      <c r="M69" s="527"/>
      <c r="N69" s="527"/>
      <c r="O69" s="527"/>
      <c r="P69" s="527"/>
      <c r="Q69" s="527"/>
      <c r="R69" s="527"/>
      <c r="S69" s="525"/>
      <c r="T69" s="522"/>
      <c r="U69" s="1087"/>
      <c r="V69" s="525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N69" s="160"/>
      <c r="AO69" s="160"/>
    </row>
    <row r="70" spans="1:98" s="486" customFormat="1" ht="12.75" thickBot="1">
      <c r="A70" s="509" t="s">
        <v>41</v>
      </c>
      <c r="B70" s="510" t="s">
        <v>776</v>
      </c>
      <c r="C70" s="511">
        <f t="shared" ref="C70" si="52">+C20+C32+C42+C52+C60+C68</f>
        <v>962806</v>
      </c>
      <c r="D70" s="511">
        <f t="shared" ref="D70:V70" si="53">+D20+D32+D42+D52+D60+D68</f>
        <v>384050</v>
      </c>
      <c r="E70" s="511">
        <f t="shared" si="53"/>
        <v>132543</v>
      </c>
      <c r="F70" s="511">
        <f t="shared" si="53"/>
        <v>5800</v>
      </c>
      <c r="G70" s="511">
        <f t="shared" si="53"/>
        <v>377399</v>
      </c>
      <c r="H70" s="511">
        <f t="shared" si="53"/>
        <v>10350</v>
      </c>
      <c r="I70" s="511">
        <f t="shared" si="53"/>
        <v>1500</v>
      </c>
      <c r="J70" s="514">
        <f t="shared" si="53"/>
        <v>1874448</v>
      </c>
      <c r="K70" s="528">
        <f t="shared" si="53"/>
        <v>655870</v>
      </c>
      <c r="L70" s="528">
        <f t="shared" si="53"/>
        <v>131505</v>
      </c>
      <c r="M70" s="528">
        <f t="shared" si="53"/>
        <v>391454</v>
      </c>
      <c r="N70" s="528">
        <f t="shared" si="53"/>
        <v>57543</v>
      </c>
      <c r="O70" s="528">
        <f t="shared" si="53"/>
        <v>2874202</v>
      </c>
      <c r="P70" s="528">
        <f t="shared" si="53"/>
        <v>466298</v>
      </c>
      <c r="Q70" s="528">
        <f t="shared" si="53"/>
        <v>19676</v>
      </c>
      <c r="R70" s="528">
        <f t="shared" si="53"/>
        <v>0</v>
      </c>
      <c r="S70" s="529">
        <f t="shared" si="53"/>
        <v>4596548</v>
      </c>
      <c r="T70" s="528">
        <f t="shared" si="53"/>
        <v>2722100</v>
      </c>
      <c r="U70" s="1088">
        <f t="shared" si="53"/>
        <v>0</v>
      </c>
      <c r="V70" s="529">
        <f t="shared" si="53"/>
        <v>2722100</v>
      </c>
      <c r="AA70" s="226"/>
      <c r="AB70" s="226"/>
      <c r="AC70" s="226"/>
      <c r="AD70" s="226"/>
      <c r="AE70" s="226"/>
      <c r="AF70" s="226"/>
      <c r="AG70" s="226"/>
      <c r="AH70" s="226"/>
      <c r="AI70" s="226"/>
      <c r="AJ70" s="226"/>
      <c r="AK70" s="226"/>
      <c r="AL70" s="226"/>
      <c r="AM70" s="226"/>
      <c r="AN70" s="226"/>
      <c r="AO70" s="226"/>
    </row>
    <row r="71" spans="1:98" s="486" customFormat="1" ht="12.75" thickBot="1">
      <c r="A71" s="538" t="s">
        <v>37</v>
      </c>
      <c r="B71" s="530" t="s">
        <v>777</v>
      </c>
      <c r="C71" s="531"/>
      <c r="D71" s="531"/>
      <c r="E71" s="531"/>
      <c r="F71" s="531">
        <f>+'1.mell._Össz_Mérleg2019'!$C$71</f>
        <v>2738772</v>
      </c>
      <c r="G71" s="531"/>
      <c r="H71" s="531"/>
      <c r="I71" s="531">
        <f>+'1.mell._Össz_Mérleg2019'!$C$86</f>
        <v>9999</v>
      </c>
      <c r="J71" s="537">
        <f>SUM(C71:I71)</f>
        <v>2748771</v>
      </c>
      <c r="K71" s="531"/>
      <c r="L71" s="531"/>
      <c r="M71" s="531"/>
      <c r="N71" s="531"/>
      <c r="O71" s="531">
        <f>+'1.mell._Össz_Mérleg2019'!$C$177</f>
        <v>26671</v>
      </c>
      <c r="P71" s="531"/>
      <c r="Q71" s="531"/>
      <c r="R71" s="531">
        <f>+'1.mell._Össz_Mérleg2019'!$C$192</f>
        <v>0</v>
      </c>
      <c r="S71" s="537">
        <f>SUM(K71:R71)</f>
        <v>26671</v>
      </c>
      <c r="T71" s="531">
        <f>S71-J71</f>
        <v>-2722100</v>
      </c>
      <c r="U71" s="1089"/>
      <c r="V71" s="532">
        <f>+T71-U71</f>
        <v>-2722100</v>
      </c>
      <c r="AA71" s="226"/>
      <c r="AB71" s="226"/>
      <c r="AC71" s="226"/>
      <c r="AD71" s="226"/>
      <c r="AE71" s="226"/>
      <c r="AF71" s="226"/>
      <c r="AG71" s="226"/>
      <c r="AH71" s="226"/>
      <c r="AI71" s="226"/>
      <c r="AJ71" s="226"/>
      <c r="AK71" s="226"/>
      <c r="AL71" s="226"/>
      <c r="AM71" s="226"/>
      <c r="AN71" s="226"/>
      <c r="AO71" s="226"/>
    </row>
    <row r="72" spans="1:98" s="159" customFormat="1" ht="12.75" thickBot="1">
      <c r="A72" s="509" t="s">
        <v>1163</v>
      </c>
      <c r="B72" s="510" t="s">
        <v>778</v>
      </c>
      <c r="C72" s="511">
        <f>+C70+C71</f>
        <v>962806</v>
      </c>
      <c r="D72" s="511">
        <f t="shared" ref="D72" si="54">+D70+D71</f>
        <v>384050</v>
      </c>
      <c r="E72" s="511">
        <f t="shared" ref="E72:I72" si="55">+E70+E71</f>
        <v>132543</v>
      </c>
      <c r="F72" s="511">
        <f t="shared" si="55"/>
        <v>2744572</v>
      </c>
      <c r="G72" s="511">
        <f t="shared" si="55"/>
        <v>377399</v>
      </c>
      <c r="H72" s="511">
        <f t="shared" si="55"/>
        <v>10350</v>
      </c>
      <c r="I72" s="511">
        <f t="shared" si="55"/>
        <v>11499</v>
      </c>
      <c r="J72" s="514">
        <f>+J70+J71</f>
        <v>4623219</v>
      </c>
      <c r="K72" s="511">
        <f t="shared" ref="K72" si="56">+K70+K71</f>
        <v>655870</v>
      </c>
      <c r="L72" s="511">
        <f t="shared" ref="L72:V72" si="57">+L70+L71</f>
        <v>131505</v>
      </c>
      <c r="M72" s="511">
        <f t="shared" si="57"/>
        <v>391454</v>
      </c>
      <c r="N72" s="511">
        <f t="shared" si="57"/>
        <v>57543</v>
      </c>
      <c r="O72" s="511">
        <f t="shared" si="57"/>
        <v>2900873</v>
      </c>
      <c r="P72" s="511">
        <f t="shared" si="57"/>
        <v>466298</v>
      </c>
      <c r="Q72" s="511">
        <f t="shared" si="57"/>
        <v>19676</v>
      </c>
      <c r="R72" s="511">
        <f t="shared" si="57"/>
        <v>0</v>
      </c>
      <c r="S72" s="514">
        <f t="shared" si="57"/>
        <v>4623219</v>
      </c>
      <c r="T72" s="511">
        <f t="shared" si="57"/>
        <v>0</v>
      </c>
      <c r="U72" s="513">
        <f t="shared" si="57"/>
        <v>0</v>
      </c>
      <c r="V72" s="514">
        <f t="shared" si="57"/>
        <v>0</v>
      </c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N72" s="160"/>
      <c r="AO72" s="160"/>
    </row>
    <row r="73" spans="1:98" s="159" customFormat="1">
      <c r="A73" s="1290"/>
      <c r="B73" s="1291"/>
      <c r="C73" s="1291"/>
      <c r="D73" s="1291"/>
      <c r="E73" s="1291"/>
      <c r="F73" s="1291"/>
      <c r="G73" s="1291"/>
      <c r="H73" s="1291"/>
      <c r="I73" s="1291"/>
      <c r="J73" s="1291"/>
      <c r="K73" s="1291"/>
      <c r="L73" s="1291"/>
      <c r="M73" s="1291"/>
      <c r="N73" s="1291"/>
      <c r="O73" s="1291"/>
      <c r="P73" s="1291"/>
      <c r="Q73" s="1291"/>
      <c r="R73" s="1291"/>
      <c r="S73" s="1291"/>
      <c r="T73" s="1291"/>
      <c r="U73" s="1291"/>
      <c r="V73" s="1291"/>
      <c r="W73" s="1291"/>
      <c r="X73" s="1291"/>
      <c r="Y73" s="1291"/>
      <c r="Z73" s="1291"/>
      <c r="AA73" s="1291"/>
      <c r="AB73" s="1291"/>
      <c r="AC73" s="1291"/>
      <c r="AD73" s="1291"/>
      <c r="AE73" s="1291"/>
      <c r="AF73" s="1291"/>
      <c r="AG73" s="1291"/>
      <c r="AH73" s="1291"/>
      <c r="AI73" s="1291"/>
      <c r="AJ73" s="1291"/>
      <c r="AK73" s="1291"/>
      <c r="AL73" s="1291"/>
      <c r="AM73" s="1291"/>
      <c r="AN73" s="1291"/>
      <c r="AO73" s="1291"/>
      <c r="AP73" s="1291"/>
      <c r="AQ73" s="1291"/>
      <c r="AR73" s="1291"/>
      <c r="AS73" s="1291"/>
      <c r="AT73" s="1291"/>
      <c r="AU73" s="1291"/>
      <c r="AV73" s="1291"/>
      <c r="AW73" s="1291"/>
      <c r="AX73" s="1291"/>
      <c r="AY73" s="1291"/>
      <c r="AZ73" s="1291"/>
      <c r="BA73" s="1291"/>
      <c r="BB73" s="1291"/>
      <c r="BC73" s="1291"/>
      <c r="BD73" s="1291"/>
      <c r="BE73" s="1291"/>
      <c r="BF73" s="1291"/>
      <c r="BG73" s="1291"/>
      <c r="BH73" s="1291"/>
      <c r="BI73" s="1291"/>
      <c r="BJ73" s="1291"/>
      <c r="BK73" s="1291"/>
      <c r="BL73" s="1291"/>
      <c r="BM73" s="1291"/>
      <c r="BN73" s="1291"/>
      <c r="BO73" s="1291"/>
      <c r="BP73" s="1291"/>
      <c r="BQ73" s="1291"/>
      <c r="BR73" s="1291"/>
      <c r="BS73" s="1291"/>
      <c r="BT73" s="1291"/>
      <c r="BU73" s="1291"/>
      <c r="BV73" s="1291"/>
      <c r="BW73" s="1291"/>
      <c r="BX73" s="1291"/>
      <c r="BY73" s="1291"/>
      <c r="BZ73" s="1291"/>
      <c r="CA73" s="1291"/>
      <c r="CF73" s="160"/>
      <c r="CG73" s="160"/>
      <c r="CH73" s="160"/>
      <c r="CI73" s="160"/>
      <c r="CJ73" s="160"/>
      <c r="CK73" s="160"/>
      <c r="CL73" s="160"/>
      <c r="CM73" s="160"/>
      <c r="CN73" s="160"/>
      <c r="CO73" s="160"/>
      <c r="CP73" s="160"/>
      <c r="CQ73" s="160"/>
      <c r="CR73" s="160"/>
      <c r="CS73" s="160"/>
      <c r="CT73" s="160"/>
    </row>
    <row r="74" spans="1:98" s="159" customFormat="1" ht="12.75" thickBot="1">
      <c r="A74" s="1290"/>
      <c r="B74" s="1291"/>
      <c r="C74" s="1291"/>
      <c r="D74" s="1291"/>
      <c r="E74" s="1291"/>
      <c r="F74" s="1291"/>
      <c r="G74" s="1291"/>
      <c r="H74" s="1291"/>
      <c r="I74" s="1291"/>
      <c r="J74" s="1291"/>
      <c r="K74" s="1291"/>
      <c r="L74" s="1291"/>
      <c r="M74" s="1291"/>
      <c r="N74" s="1291"/>
      <c r="O74" s="1291"/>
      <c r="P74" s="1291"/>
      <c r="Q74" s="1291"/>
      <c r="R74" s="1291"/>
      <c r="S74" s="1291"/>
      <c r="T74" s="1291"/>
      <c r="U74" s="1291"/>
      <c r="V74" s="203" t="s">
        <v>458</v>
      </c>
      <c r="W74" s="1291"/>
      <c r="X74" s="1291"/>
      <c r="Y74" s="1291"/>
      <c r="Z74" s="1291"/>
      <c r="AA74" s="1291"/>
      <c r="AB74" s="1291"/>
      <c r="AC74" s="1291"/>
      <c r="AD74" s="1291"/>
      <c r="AE74" s="1291"/>
      <c r="AF74" s="1291"/>
      <c r="AG74" s="1291"/>
      <c r="AH74" s="1291"/>
      <c r="AI74" s="1291"/>
      <c r="AJ74" s="1291"/>
      <c r="AK74" s="1291"/>
      <c r="AL74" s="1291"/>
      <c r="AM74" s="1291"/>
      <c r="AN74" s="1291"/>
      <c r="AO74" s="1291"/>
      <c r="AP74" s="1291"/>
      <c r="AQ74" s="1291"/>
      <c r="AR74" s="1291"/>
      <c r="AS74" s="1291"/>
      <c r="AT74" s="1291"/>
      <c r="AU74" s="1291"/>
      <c r="AV74" s="1291"/>
      <c r="AW74" s="1291"/>
      <c r="AX74" s="1291"/>
      <c r="AY74" s="1291"/>
      <c r="AZ74" s="1291"/>
      <c r="BA74" s="1291"/>
      <c r="BB74" s="1291"/>
      <c r="BC74" s="1291"/>
      <c r="BD74" s="1291"/>
      <c r="BE74" s="1291"/>
      <c r="BF74" s="1291"/>
      <c r="BG74" s="1291"/>
      <c r="BH74" s="1291"/>
      <c r="BI74" s="1291"/>
      <c r="BJ74" s="1291"/>
      <c r="BK74" s="1291"/>
      <c r="BL74" s="1291"/>
      <c r="BM74" s="1291"/>
      <c r="BN74" s="1291"/>
      <c r="BO74" s="1291"/>
      <c r="BP74" s="1291"/>
      <c r="BQ74" s="1291"/>
      <c r="BR74" s="1291"/>
      <c r="BS74" s="1291"/>
      <c r="BT74" s="1291"/>
      <c r="BU74" s="1291"/>
      <c r="BV74" s="1291"/>
      <c r="BW74" s="1291"/>
      <c r="BX74" s="1291"/>
      <c r="BY74" s="1291"/>
      <c r="BZ74" s="1291"/>
      <c r="CA74" s="1291"/>
      <c r="CF74" s="160"/>
      <c r="CG74" s="160"/>
      <c r="CH74" s="160"/>
      <c r="CI74" s="160"/>
      <c r="CJ74" s="160"/>
      <c r="CK74" s="160"/>
      <c r="CL74" s="160"/>
      <c r="CM74" s="160"/>
      <c r="CN74" s="160"/>
      <c r="CO74" s="160"/>
      <c r="CP74" s="160"/>
      <c r="CQ74" s="160"/>
      <c r="CR74" s="160"/>
      <c r="CS74" s="160"/>
      <c r="CT74" s="160"/>
    </row>
    <row r="75" spans="1:98" s="159" customFormat="1" ht="72.75" thickBot="1">
      <c r="A75" s="786" t="s">
        <v>17</v>
      </c>
      <c r="B75" s="787" t="s">
        <v>1564</v>
      </c>
      <c r="C75" s="788" t="s">
        <v>769</v>
      </c>
      <c r="D75" s="320" t="s">
        <v>526</v>
      </c>
      <c r="E75" s="320" t="s">
        <v>770</v>
      </c>
      <c r="F75" s="320" t="s">
        <v>1164</v>
      </c>
      <c r="G75" s="320" t="s">
        <v>533</v>
      </c>
      <c r="H75" s="320" t="s">
        <v>534</v>
      </c>
      <c r="I75" s="319" t="s">
        <v>1165</v>
      </c>
      <c r="J75" s="260" t="s">
        <v>525</v>
      </c>
      <c r="K75" s="788" t="s">
        <v>46</v>
      </c>
      <c r="L75" s="320" t="s">
        <v>447</v>
      </c>
      <c r="M75" s="320" t="s">
        <v>448</v>
      </c>
      <c r="N75" s="320" t="s">
        <v>772</v>
      </c>
      <c r="O75" s="320" t="s">
        <v>1166</v>
      </c>
      <c r="P75" s="320" t="s">
        <v>451</v>
      </c>
      <c r="Q75" s="320" t="s">
        <v>452</v>
      </c>
      <c r="R75" s="255" t="s">
        <v>1167</v>
      </c>
      <c r="S75" s="260" t="s">
        <v>528</v>
      </c>
      <c r="T75" s="789" t="s">
        <v>762</v>
      </c>
      <c r="U75" s="1078" t="s">
        <v>1255</v>
      </c>
      <c r="V75" s="488" t="s">
        <v>763</v>
      </c>
      <c r="X75" s="489"/>
      <c r="Y75" s="489"/>
      <c r="Z75" s="489"/>
      <c r="AA75" s="489" t="s">
        <v>1077</v>
      </c>
      <c r="AB75" s="489" t="s">
        <v>1052</v>
      </c>
      <c r="AC75" s="489" t="s">
        <v>1253</v>
      </c>
      <c r="AD75" s="489" t="s">
        <v>1172</v>
      </c>
      <c r="AE75" s="489" t="s">
        <v>1171</v>
      </c>
      <c r="AF75" s="489" t="s">
        <v>1170</v>
      </c>
      <c r="AG75" s="489" t="s">
        <v>1174</v>
      </c>
      <c r="AH75" s="489" t="s">
        <v>1175</v>
      </c>
      <c r="AI75" s="489" t="s">
        <v>1254</v>
      </c>
      <c r="AJ75" s="1291"/>
      <c r="AK75" s="1291"/>
      <c r="AL75" s="1291"/>
      <c r="AM75" s="1291"/>
      <c r="AN75" s="1291"/>
      <c r="AO75" s="1291"/>
      <c r="AT75" s="160"/>
      <c r="AU75" s="160"/>
      <c r="AV75" s="160"/>
      <c r="AW75" s="160"/>
      <c r="AX75" s="160"/>
      <c r="AY75" s="160"/>
      <c r="AZ75" s="160"/>
      <c r="BA75" s="160"/>
      <c r="BB75" s="160"/>
      <c r="BC75" s="160"/>
      <c r="BD75" s="160"/>
      <c r="BE75" s="160"/>
      <c r="BF75" s="160"/>
      <c r="BG75" s="160"/>
      <c r="BH75" s="160"/>
    </row>
    <row r="76" spans="1:98" s="159" customFormat="1">
      <c r="A76" s="734">
        <v>1</v>
      </c>
      <c r="B76" s="668" t="s">
        <v>415</v>
      </c>
      <c r="C76" s="491">
        <f>+SUMIF('13.mell_ÖNKfeladatok2019'!$B$5:$B$159,'14.mell_Önk kiegészítés2019'!$A6,'13.mell_ÖNKfeladatok2019'!P$5:P$159)</f>
        <v>0</v>
      </c>
      <c r="D76" s="491">
        <f>+SUMIF('13.mell_ÖNKfeladatok2019'!$B$5:$B$159,'14.mell_Önk kiegészítés2019'!$A6,'13.mell_ÖNKfeladatok2019'!T$5:T$159)</f>
        <v>0</v>
      </c>
      <c r="E76" s="491">
        <f>+SUMIF('13.mell_ÖNKfeladatok2019'!$B$5:$B$159,'14.mell_Önk kiegészítés2019'!$A6,'13.mell_ÖNKfeladatok2019'!X$5:X$159)</f>
        <v>0</v>
      </c>
      <c r="F76" s="491">
        <f>+SUMIF('13.mell_ÖNKfeladatok2019'!$B$5:$B$159,'14.mell_Önk kiegészítés2019'!$A6,'13.mell_ÖNKfeladatok2019'!AB$5:AB$159)</f>
        <v>0</v>
      </c>
      <c r="G76" s="491">
        <f>+SUMIF('13.mell_ÖNKfeladatok2019'!$B$5:$B$159,'14.mell_Önk kiegészítés2019'!$A6,'13.mell_ÖNKfeladatok2019'!AJ$5:AJ$159)</f>
        <v>0</v>
      </c>
      <c r="H76" s="491">
        <f>+SUMIF('13.mell_ÖNKfeladatok2019'!$B$5:$B$159,'14.mell_Önk kiegészítés2019'!$A6,'13.mell_ÖNKfeladatok2019'!AN$5:AN$159)</f>
        <v>0</v>
      </c>
      <c r="I76" s="491">
        <f>+SUMIF('13.mell_ÖNKfeladatok2019'!$B$5:$B$159,'14.mell_Önk kiegészítés2019'!$A6,'13.mell_ÖNKfeladatok2019'!AR$5:AR$159)</f>
        <v>0</v>
      </c>
      <c r="J76" s="669">
        <f t="shared" ref="J76:J83" si="58">SUM(C76:I76)</f>
        <v>0</v>
      </c>
      <c r="K76" s="491">
        <f>+SUMIF('13.mell_ÖNKfeladatok2019'!$B$167:$B$321,'14.mell_Önk kiegészítés2019'!$A6,'13.mell_ÖNKfeladatok2019'!P$167:P$321)</f>
        <v>38293</v>
      </c>
      <c r="L76" s="491">
        <f>+SUMIF('13.mell_ÖNKfeladatok2019'!$B$167:$B$321,'14.mell_Önk kiegészítés2019'!$A6,'13.mell_ÖNKfeladatok2019'!T$167:T$321)</f>
        <v>6171</v>
      </c>
      <c r="M76" s="491">
        <f>+SUMIF('13.mell_ÖNKfeladatok2019'!$B$167:$B$321,'14.mell_Önk kiegészítés2019'!$A6,'13.mell_ÖNKfeladatok2019'!X$167:X$321)</f>
        <v>0</v>
      </c>
      <c r="N76" s="491">
        <f>+SUMIF('13.mell_ÖNKfeladatok2019'!$B$167:$B$321,'14.mell_Önk kiegészítés2019'!$A6,'13.mell_ÖNKfeladatok2019'!AB$167:AB$321)</f>
        <v>0</v>
      </c>
      <c r="O76" s="491">
        <f>+SUMIF('13.mell_ÖNKfeladatok2019'!$B$167:$B$321,'14.mell_Önk kiegészítés2019'!$A6,'13.mell_ÖNKfeladatok2019'!AF$167:AF$321)</f>
        <v>0</v>
      </c>
      <c r="P76" s="491">
        <f>+SUMIF('13.mell_ÖNKfeladatok2019'!$B$167:$B$321,'14.mell_Önk kiegészítés2019'!$A6,'13.mell_ÖNKfeladatok2019'!AN$167:AN$321)</f>
        <v>0</v>
      </c>
      <c r="Q76" s="491">
        <f>+SUMIF('13.mell_ÖNKfeladatok2019'!$B$167:$B$321,'14.mell_Önk kiegészítés2019'!$A6,'13.mell_ÖNKfeladatok2019'!AR$167:AR$321)</f>
        <v>0</v>
      </c>
      <c r="R76" s="491">
        <f>+SUMIF('13.mell_ÖNKfeladatok2019'!$B$167:$B$321,'14.mell_Önk kiegészítés2019'!$A6,'13.mell_ÖNKfeladatok2019'!AV$167:AV$321)</f>
        <v>0</v>
      </c>
      <c r="S76" s="669">
        <f t="shared" ref="S76:S83" si="59">SUM(K76:R76)</f>
        <v>44464</v>
      </c>
      <c r="T76" s="670">
        <f t="shared" ref="T76:T83" si="60">S76-J76</f>
        <v>44464</v>
      </c>
      <c r="U76" s="491">
        <f>+ROUND(SUMIF('10.mell_támogatások2019'!$B$6:$B$137,'14.mell_Önk kiegészítés2019'!$A6,'10.mell_támogatások2019'!E$6:E$137)/1000,0)</f>
        <v>1961</v>
      </c>
      <c r="V76" s="671">
        <f t="shared" ref="V76:V83" si="61">+T76-U76</f>
        <v>42503</v>
      </c>
      <c r="X76" s="226"/>
      <c r="Y76" s="226"/>
      <c r="Z76" s="226"/>
      <c r="AA76" s="226"/>
      <c r="AB76" s="226"/>
      <c r="AC76" s="226"/>
      <c r="AD76" s="226"/>
      <c r="AE76" s="226"/>
      <c r="AF76" s="226"/>
      <c r="AG76" s="226"/>
      <c r="AH76" s="226"/>
      <c r="AI76" s="226"/>
      <c r="AJ76" s="1291"/>
      <c r="AK76" s="1291"/>
      <c r="AL76" s="1291"/>
      <c r="AM76" s="1291"/>
      <c r="AN76" s="1291"/>
      <c r="AO76" s="1291"/>
      <c r="AT76" s="160"/>
      <c r="AU76" s="160"/>
      <c r="AV76" s="160"/>
      <c r="AW76" s="160"/>
      <c r="AX76" s="160"/>
      <c r="AY76" s="160"/>
      <c r="AZ76" s="160"/>
      <c r="BA76" s="160"/>
      <c r="BB76" s="160"/>
      <c r="BC76" s="160"/>
      <c r="BD76" s="160"/>
      <c r="BE76" s="160"/>
      <c r="BF76" s="160"/>
      <c r="BG76" s="160"/>
      <c r="BH76" s="160"/>
    </row>
    <row r="77" spans="1:98" s="159" customFormat="1">
      <c r="A77" s="735">
        <f>+A76+1</f>
        <v>2</v>
      </c>
      <c r="B77" s="490" t="s">
        <v>658</v>
      </c>
      <c r="C77" s="491">
        <f>+SUMIF('13.mell_ÖNKfeladatok2019'!$B$5:$B$159,'14.mell_Önk kiegészítés2019'!$A7,'13.mell_ÖNKfeladatok2019'!P$5:P$159)</f>
        <v>0</v>
      </c>
      <c r="D77" s="491">
        <f>+SUMIF('13.mell_ÖNKfeladatok2019'!$B$5:$B$159,'14.mell_Önk kiegészítés2019'!$A7,'13.mell_ÖNKfeladatok2019'!T$5:T$159)</f>
        <v>0</v>
      </c>
      <c r="E77" s="491">
        <f>+SUMIF('13.mell_ÖNKfeladatok2019'!$B$5:$B$159,'14.mell_Önk kiegészítés2019'!$A7,'13.mell_ÖNKfeladatok2019'!X$5:X$159)</f>
        <v>10</v>
      </c>
      <c r="F77" s="491">
        <f>+SUMIF('13.mell_ÖNKfeladatok2019'!$B$5:$B$159,'14.mell_Önk kiegészítés2019'!$A7,'13.mell_ÖNKfeladatok2019'!AB$5:AB$159)</f>
        <v>0</v>
      </c>
      <c r="G77" s="491">
        <f>+SUMIF('13.mell_ÖNKfeladatok2019'!$B$5:$B$159,'14.mell_Önk kiegészítés2019'!$A7,'13.mell_ÖNKfeladatok2019'!AJ$5:AJ$159)</f>
        <v>0</v>
      </c>
      <c r="H77" s="491">
        <f>+SUMIF('13.mell_ÖNKfeladatok2019'!$B$5:$B$159,'14.mell_Önk kiegészítés2019'!$A7,'13.mell_ÖNKfeladatok2019'!AN$5:AN$159)</f>
        <v>0</v>
      </c>
      <c r="I77" s="491">
        <f>+SUMIF('13.mell_ÖNKfeladatok2019'!$B$5:$B$159,'14.mell_Önk kiegészítés2019'!$A7,'13.mell_ÖNKfeladatok2019'!AR$5:AR$159)</f>
        <v>0</v>
      </c>
      <c r="J77" s="533">
        <f t="shared" si="58"/>
        <v>10</v>
      </c>
      <c r="K77" s="491">
        <f>+SUMIF('13.mell_ÖNKfeladatok2019'!$B$167:$B$321,'14.mell_Önk kiegészítés2019'!$A7,'13.mell_ÖNKfeladatok2019'!P$167:P$321)</f>
        <v>0</v>
      </c>
      <c r="L77" s="491">
        <f>+SUMIF('13.mell_ÖNKfeladatok2019'!$B$167:$B$321,'14.mell_Önk kiegészítés2019'!$A7,'13.mell_ÖNKfeladatok2019'!T$167:T$321)</f>
        <v>0</v>
      </c>
      <c r="M77" s="491">
        <f>+SUMIF('13.mell_ÖNKfeladatok2019'!$B$167:$B$321,'14.mell_Önk kiegészítés2019'!$A7,'13.mell_ÖNKfeladatok2019'!X$167:X$321)</f>
        <v>1418</v>
      </c>
      <c r="N77" s="491">
        <f>+SUMIF('13.mell_ÖNKfeladatok2019'!$B$167:$B$321,'14.mell_Önk kiegészítés2019'!$A7,'13.mell_ÖNKfeladatok2019'!AB$167:AB$321)</f>
        <v>0</v>
      </c>
      <c r="O77" s="491">
        <f>+SUMIF('13.mell_ÖNKfeladatok2019'!$B$167:$B$321,'14.mell_Önk kiegészítés2019'!$A7,'13.mell_ÖNKfeladatok2019'!AF$167:AF$321)</f>
        <v>0</v>
      </c>
      <c r="P77" s="491">
        <f>+SUMIF('13.mell_ÖNKfeladatok2019'!$B$167:$B$321,'14.mell_Önk kiegészítés2019'!$A7,'13.mell_ÖNKfeladatok2019'!AN$167:AN$321)</f>
        <v>0</v>
      </c>
      <c r="Q77" s="491">
        <f>+SUMIF('13.mell_ÖNKfeladatok2019'!$B$167:$B$321,'14.mell_Önk kiegészítés2019'!$A7,'13.mell_ÖNKfeladatok2019'!AR$167:AR$321)</f>
        <v>1557</v>
      </c>
      <c r="R77" s="491">
        <f>+SUMIF('13.mell_ÖNKfeladatok2019'!$B$167:$B$321,'14.mell_Önk kiegészítés2019'!$A7,'13.mell_ÖNKfeladatok2019'!AV$167:AV$321)</f>
        <v>0</v>
      </c>
      <c r="S77" s="533">
        <f t="shared" si="59"/>
        <v>2975</v>
      </c>
      <c r="T77" s="492">
        <f t="shared" si="60"/>
        <v>2965</v>
      </c>
      <c r="U77" s="1079">
        <f>+ROUND(SUMIF('10.mell_támogatások2019'!$B$6:$B$137,'14.mell_Önk kiegészítés2019'!$A7,'10.mell_támogatások2019'!E$6:E$137)/1000,0)</f>
        <v>3460</v>
      </c>
      <c r="V77" s="493">
        <f t="shared" si="61"/>
        <v>-495</v>
      </c>
      <c r="X77" s="226"/>
      <c r="Y77" s="226"/>
      <c r="Z77" s="226"/>
      <c r="AA77" s="226"/>
      <c r="AB77" s="226"/>
      <c r="AC77" s="226"/>
      <c r="AD77" s="226"/>
      <c r="AE77" s="226"/>
      <c r="AF77" s="226"/>
      <c r="AG77" s="226"/>
      <c r="AH77" s="226"/>
      <c r="AI77" s="226"/>
      <c r="AJ77" s="1291"/>
      <c r="AK77" s="1291"/>
      <c r="AL77" s="1291"/>
      <c r="AM77" s="1291"/>
      <c r="AN77" s="1291"/>
      <c r="AO77" s="1291"/>
      <c r="AT77" s="160"/>
      <c r="AU77" s="160"/>
      <c r="AV77" s="160"/>
      <c r="AW77" s="160"/>
      <c r="AX77" s="160"/>
      <c r="AY77" s="160"/>
      <c r="AZ77" s="160"/>
      <c r="BA77" s="160"/>
      <c r="BB77" s="160"/>
      <c r="BC77" s="160"/>
      <c r="BD77" s="160"/>
      <c r="BE77" s="160"/>
      <c r="BF77" s="160"/>
      <c r="BG77" s="160"/>
      <c r="BH77" s="160"/>
    </row>
    <row r="78" spans="1:98" s="159" customFormat="1">
      <c r="A78" s="735">
        <f>+A77+1</f>
        <v>3</v>
      </c>
      <c r="B78" s="494" t="s">
        <v>653</v>
      </c>
      <c r="C78" s="495">
        <f>+SUMIF('13.mell_ÖNKfeladatok2019'!$B$5:$B$159,'14.mell_Önk kiegészítés2019'!$A8,'13.mell_ÖNKfeladatok2019'!P$5:P$159)</f>
        <v>0</v>
      </c>
      <c r="D78" s="495">
        <f>+SUMIF('13.mell_ÖNKfeladatok2019'!$B$5:$B$159,'14.mell_Önk kiegészítés2019'!$A8,'13.mell_ÖNKfeladatok2019'!T$5:T$159)</f>
        <v>0</v>
      </c>
      <c r="E78" s="495">
        <f>+SUMIF('13.mell_ÖNKfeladatok2019'!$B$5:$B$159,'14.mell_Önk kiegészítés2019'!$A8,'13.mell_ÖNKfeladatok2019'!X$5:X$159)</f>
        <v>0</v>
      </c>
      <c r="F78" s="495">
        <f>+SUMIF('13.mell_ÖNKfeladatok2019'!$B$5:$B$159,'14.mell_Önk kiegészítés2019'!$A8,'13.mell_ÖNKfeladatok2019'!AB$5:AB$159)</f>
        <v>0</v>
      </c>
      <c r="G78" s="491">
        <f>+SUMIF('13.mell_ÖNKfeladatok2019'!$B$5:$B$159,'14.mell_Önk kiegészítés2019'!$A8,'13.mell_ÖNKfeladatok2019'!AJ$5:AJ$159)</f>
        <v>0</v>
      </c>
      <c r="H78" s="495">
        <f>+SUMIF('13.mell_ÖNKfeladatok2019'!$B$5:$B$159,'14.mell_Önk kiegészítés2019'!$A8,'13.mell_ÖNKfeladatok2019'!AN$5:AN$159)</f>
        <v>0</v>
      </c>
      <c r="I78" s="495">
        <f>+SUMIF('13.mell_ÖNKfeladatok2019'!$B$5:$B$159,'14.mell_Önk kiegészítés2019'!$A8,'13.mell_ÖNKfeladatok2019'!AR$5:AR$159)</f>
        <v>0</v>
      </c>
      <c r="J78" s="534">
        <f t="shared" si="58"/>
        <v>0</v>
      </c>
      <c r="K78" s="495">
        <f>+SUMIF('13.mell_ÖNKfeladatok2019'!$B$167:$B$321,'14.mell_Önk kiegészítés2019'!$A8,'13.mell_ÖNKfeladatok2019'!P$167:P$321)</f>
        <v>0</v>
      </c>
      <c r="L78" s="495">
        <f>+SUMIF('13.mell_ÖNKfeladatok2019'!$B$167:$B$321,'14.mell_Önk kiegészítés2019'!$A8,'13.mell_ÖNKfeladatok2019'!T$167:T$321)</f>
        <v>0</v>
      </c>
      <c r="M78" s="495">
        <f>+SUMIF('13.mell_ÖNKfeladatok2019'!$B$167:$B$321,'14.mell_Önk kiegészítés2019'!$A8,'13.mell_ÖNKfeladatok2019'!X$167:X$321)</f>
        <v>25301</v>
      </c>
      <c r="N78" s="495">
        <f>+SUMIF('13.mell_ÖNKfeladatok2019'!$B$167:$B$321,'14.mell_Önk kiegészítés2019'!$A8,'13.mell_ÖNKfeladatok2019'!AB$167:AB$321)</f>
        <v>0</v>
      </c>
      <c r="O78" s="495">
        <f>+SUMIF('13.mell_ÖNKfeladatok2019'!$B$167:$B$321,'14.mell_Önk kiegészítés2019'!$A8,'13.mell_ÖNKfeladatok2019'!AF$167:AF$321)</f>
        <v>0</v>
      </c>
      <c r="P78" s="495">
        <f>+SUMIF('13.mell_ÖNKfeladatok2019'!$B$167:$B$321,'14.mell_Önk kiegészítés2019'!$A8,'13.mell_ÖNKfeladatok2019'!AN$167:AN$321)</f>
        <v>0</v>
      </c>
      <c r="Q78" s="495">
        <f>+SUMIF('13.mell_ÖNKfeladatok2019'!$B$167:$B$321,'14.mell_Önk kiegészítés2019'!$A8,'13.mell_ÖNKfeladatok2019'!AR$167:AR$321)</f>
        <v>0</v>
      </c>
      <c r="R78" s="495">
        <f>+SUMIF('13.mell_ÖNKfeladatok2019'!$B$167:$B$321,'14.mell_Önk kiegészítés2019'!$A8,'13.mell_ÖNKfeladatok2019'!AV$167:AV$321)</f>
        <v>0</v>
      </c>
      <c r="S78" s="534">
        <f t="shared" si="59"/>
        <v>25301</v>
      </c>
      <c r="T78" s="496">
        <f t="shared" si="60"/>
        <v>25301</v>
      </c>
      <c r="U78" s="1079">
        <f>+ROUND(SUMIF('10.mell_támogatások2019'!$B$6:$B$137,'14.mell_Önk kiegészítés2019'!$A8,'10.mell_támogatások2019'!E$6:E$137)/1000,0)</f>
        <v>26600</v>
      </c>
      <c r="V78" s="497">
        <f t="shared" si="61"/>
        <v>-1299</v>
      </c>
      <c r="X78" s="226"/>
      <c r="Y78" s="226"/>
      <c r="Z78" s="226"/>
      <c r="AA78" s="226"/>
      <c r="AB78" s="226"/>
      <c r="AC78" s="226"/>
      <c r="AD78" s="226"/>
      <c r="AE78" s="226"/>
      <c r="AF78" s="226"/>
      <c r="AG78" s="226"/>
      <c r="AH78" s="226"/>
      <c r="AI78" s="226"/>
      <c r="AJ78" s="1291"/>
      <c r="AK78" s="1291"/>
      <c r="AL78" s="1291"/>
      <c r="AM78" s="1291"/>
      <c r="AN78" s="1291"/>
      <c r="AO78" s="1291"/>
      <c r="AT78" s="160"/>
      <c r="AU78" s="160"/>
      <c r="AV78" s="160"/>
      <c r="AW78" s="160"/>
      <c r="AX78" s="160"/>
      <c r="AY78" s="160"/>
      <c r="AZ78" s="160"/>
      <c r="BA78" s="160"/>
      <c r="BB78" s="160"/>
      <c r="BC78" s="160"/>
      <c r="BD78" s="160"/>
      <c r="BE78" s="160"/>
      <c r="BF78" s="160"/>
      <c r="BG78" s="160"/>
      <c r="BH78" s="160"/>
    </row>
    <row r="79" spans="1:98" s="159" customFormat="1">
      <c r="A79" s="735">
        <f>+A78+1</f>
        <v>4</v>
      </c>
      <c r="B79" s="494" t="s">
        <v>655</v>
      </c>
      <c r="C79" s="495">
        <f>+SUMIF('13.mell_ÖNKfeladatok2019'!$B$5:$B$159,'14.mell_Önk kiegészítés2019'!$A9,'13.mell_ÖNKfeladatok2019'!P$5:P$159)</f>
        <v>0</v>
      </c>
      <c r="D79" s="495">
        <f>+SUMIF('13.mell_ÖNKfeladatok2019'!$B$5:$B$159,'14.mell_Önk kiegészítés2019'!$A9,'13.mell_ÖNKfeladatok2019'!T$5:T$159)</f>
        <v>0</v>
      </c>
      <c r="E79" s="495">
        <f>+SUMIF('13.mell_ÖNKfeladatok2019'!$B$5:$B$159,'14.mell_Önk kiegészítés2019'!$A9,'13.mell_ÖNKfeladatok2019'!X$5:X$159)</f>
        <v>40</v>
      </c>
      <c r="F79" s="495">
        <f>+SUMIF('13.mell_ÖNKfeladatok2019'!$B$5:$B$159,'14.mell_Önk kiegészítés2019'!$A9,'13.mell_ÖNKfeladatok2019'!AB$5:AB$159)</f>
        <v>0</v>
      </c>
      <c r="G79" s="491">
        <f>+SUMIF('13.mell_ÖNKfeladatok2019'!$B$5:$B$159,'14.mell_Önk kiegészítés2019'!$A9,'13.mell_ÖNKfeladatok2019'!AJ$5:AJ$159)</f>
        <v>0</v>
      </c>
      <c r="H79" s="495">
        <f>+SUMIF('13.mell_ÖNKfeladatok2019'!$B$5:$B$159,'14.mell_Önk kiegészítés2019'!$A9,'13.mell_ÖNKfeladatok2019'!AN$5:AN$159)</f>
        <v>0</v>
      </c>
      <c r="I79" s="495">
        <f>+SUMIF('13.mell_ÖNKfeladatok2019'!$B$5:$B$159,'14.mell_Önk kiegészítés2019'!$A9,'13.mell_ÖNKfeladatok2019'!AR$5:AR$159)</f>
        <v>0</v>
      </c>
      <c r="J79" s="534">
        <f t="shared" si="58"/>
        <v>40</v>
      </c>
      <c r="K79" s="495">
        <f>+SUMIF('13.mell_ÖNKfeladatok2019'!$B$167:$B$321,'14.mell_Önk kiegészítés2019'!$A9,'13.mell_ÖNKfeladatok2019'!P$167:P$321)</f>
        <v>0</v>
      </c>
      <c r="L79" s="495">
        <f>+SUMIF('13.mell_ÖNKfeladatok2019'!$B$167:$B$321,'14.mell_Önk kiegészítés2019'!$A9,'13.mell_ÖNKfeladatok2019'!T$167:T$321)</f>
        <v>0</v>
      </c>
      <c r="M79" s="495">
        <f>+SUMIF('13.mell_ÖNKfeladatok2019'!$B$167:$B$321,'14.mell_Önk kiegészítés2019'!$A9,'13.mell_ÖNKfeladatok2019'!X$167:X$321)</f>
        <v>10153</v>
      </c>
      <c r="N79" s="495">
        <f>+SUMIF('13.mell_ÖNKfeladatok2019'!$B$167:$B$321,'14.mell_Önk kiegészítés2019'!$A9,'13.mell_ÖNKfeladatok2019'!AB$167:AB$321)</f>
        <v>0</v>
      </c>
      <c r="O79" s="495">
        <f>+SUMIF('13.mell_ÖNKfeladatok2019'!$B$167:$B$321,'14.mell_Önk kiegészítés2019'!$A9,'13.mell_ÖNKfeladatok2019'!AF$167:AF$321)</f>
        <v>0</v>
      </c>
      <c r="P79" s="495">
        <f>+SUMIF('13.mell_ÖNKfeladatok2019'!$B$167:$B$321,'14.mell_Önk kiegészítés2019'!$A9,'13.mell_ÖNKfeladatok2019'!AN$167:AN$321)</f>
        <v>851</v>
      </c>
      <c r="Q79" s="495">
        <f>+SUMIF('13.mell_ÖNKfeladatok2019'!$B$167:$B$321,'14.mell_Önk kiegészítés2019'!$A9,'13.mell_ÖNKfeladatok2019'!AR$167:AR$321)</f>
        <v>0</v>
      </c>
      <c r="R79" s="495">
        <f>+SUMIF('13.mell_ÖNKfeladatok2019'!$B$167:$B$321,'14.mell_Önk kiegészítés2019'!$A9,'13.mell_ÖNKfeladatok2019'!AV$167:AV$321)</f>
        <v>0</v>
      </c>
      <c r="S79" s="534">
        <f t="shared" si="59"/>
        <v>11004</v>
      </c>
      <c r="T79" s="496">
        <f t="shared" si="60"/>
        <v>10964</v>
      </c>
      <c r="U79" s="1079">
        <f>+ROUND(SUMIF('10.mell_támogatások2019'!$B$6:$B$137,'14.mell_Önk kiegészítés2019'!$A9,'10.mell_támogatások2019'!E$6:E$137)/1000,0)</f>
        <v>13509</v>
      </c>
      <c r="V79" s="497">
        <f t="shared" si="61"/>
        <v>-2545</v>
      </c>
      <c r="X79" s="226"/>
      <c r="Y79" s="226"/>
      <c r="Z79" s="226"/>
      <c r="AA79" s="226"/>
      <c r="AB79" s="226"/>
      <c r="AC79" s="226"/>
      <c r="AD79" s="226"/>
      <c r="AE79" s="226"/>
      <c r="AF79" s="226"/>
      <c r="AG79" s="226"/>
      <c r="AH79" s="226"/>
      <c r="AI79" s="226"/>
      <c r="AJ79" s="1291"/>
      <c r="AK79" s="1291"/>
      <c r="AL79" s="1291"/>
      <c r="AM79" s="1291"/>
      <c r="AN79" s="1291"/>
      <c r="AO79" s="1291"/>
      <c r="AT79" s="160"/>
      <c r="AU79" s="160"/>
      <c r="AV79" s="160"/>
      <c r="AW79" s="160"/>
      <c r="AX79" s="160"/>
      <c r="AY79" s="160"/>
      <c r="AZ79" s="160"/>
      <c r="BA79" s="160"/>
      <c r="BB79" s="160"/>
      <c r="BC79" s="160"/>
      <c r="BD79" s="160"/>
      <c r="BE79" s="160"/>
      <c r="BF79" s="160"/>
      <c r="BG79" s="160"/>
      <c r="BH79" s="160"/>
    </row>
    <row r="80" spans="1:98">
      <c r="A80" s="735">
        <f>+A79+1</f>
        <v>5</v>
      </c>
      <c r="B80" s="494" t="s">
        <v>652</v>
      </c>
      <c r="C80" s="495">
        <f>+SUMIF('13.mell_ÖNKfeladatok2019'!$B$5:$B$159,'14.mell_Önk kiegészítés2019'!$A10,'13.mell_ÖNKfeladatok2019'!P$5:P$159)</f>
        <v>0</v>
      </c>
      <c r="D80" s="495">
        <f>+SUMIF('13.mell_ÖNKfeladatok2019'!$B$5:$B$159,'14.mell_Önk kiegészítés2019'!$A10,'13.mell_ÖNKfeladatok2019'!T$5:T$159)</f>
        <v>0</v>
      </c>
      <c r="E80" s="495">
        <f>+SUMIF('13.mell_ÖNKfeladatok2019'!$B$5:$B$159,'14.mell_Önk kiegészítés2019'!$A10,'13.mell_ÖNKfeladatok2019'!X$5:X$159)</f>
        <v>0</v>
      </c>
      <c r="F80" s="495">
        <f>+SUMIF('13.mell_ÖNKfeladatok2019'!$B$5:$B$159,'14.mell_Önk kiegészítés2019'!$A10,'13.mell_ÖNKfeladatok2019'!AB$5:AB$159)</f>
        <v>0</v>
      </c>
      <c r="G80" s="491">
        <f>+SUMIF('13.mell_ÖNKfeladatok2019'!$B$5:$B$159,'14.mell_Önk kiegészítés2019'!$A10,'13.mell_ÖNKfeladatok2019'!AJ$5:AJ$159)</f>
        <v>0</v>
      </c>
      <c r="H80" s="495">
        <f>+SUMIF('13.mell_ÖNKfeladatok2019'!$B$5:$B$159,'14.mell_Önk kiegészítés2019'!$A10,'13.mell_ÖNKfeladatok2019'!AN$5:AN$159)</f>
        <v>0</v>
      </c>
      <c r="I80" s="495">
        <f>+SUMIF('13.mell_ÖNKfeladatok2019'!$B$5:$B$159,'14.mell_Önk kiegészítés2019'!$A10,'13.mell_ÖNKfeladatok2019'!AR$5:AR$159)</f>
        <v>0</v>
      </c>
      <c r="J80" s="534">
        <f t="shared" si="58"/>
        <v>0</v>
      </c>
      <c r="K80" s="495">
        <f>+SUMIF('13.mell_ÖNKfeladatok2019'!$B$167:$B$321,'14.mell_Önk kiegészítés2019'!$A10,'13.mell_ÖNKfeladatok2019'!P$167:P$321)</f>
        <v>0</v>
      </c>
      <c r="L80" s="495">
        <f>+SUMIF('13.mell_ÖNKfeladatok2019'!$B$167:$B$321,'14.mell_Önk kiegészítés2019'!$A10,'13.mell_ÖNKfeladatok2019'!T$167:T$321)</f>
        <v>0</v>
      </c>
      <c r="M80" s="495">
        <f>+SUMIF('13.mell_ÖNKfeladatok2019'!$B$167:$B$321,'14.mell_Önk kiegészítés2019'!$A10,'13.mell_ÖNKfeladatok2019'!X$167:X$321)</f>
        <v>37411</v>
      </c>
      <c r="N80" s="495">
        <f>+SUMIF('13.mell_ÖNKfeladatok2019'!$B$167:$B$321,'14.mell_Önk kiegészítés2019'!$A10,'13.mell_ÖNKfeladatok2019'!AB$167:AB$321)</f>
        <v>0</v>
      </c>
      <c r="O80" s="495">
        <f>+SUMIF('13.mell_ÖNKfeladatok2019'!$B$167:$B$321,'14.mell_Önk kiegészítés2019'!$A10,'13.mell_ÖNKfeladatok2019'!AF$167:AF$321)</f>
        <v>0</v>
      </c>
      <c r="P80" s="495">
        <f>+SUMIF('13.mell_ÖNKfeladatok2019'!$B$167:$B$321,'14.mell_Önk kiegészítés2019'!$A10,'13.mell_ÖNKfeladatok2019'!AN$167:AN$321)</f>
        <v>4950</v>
      </c>
      <c r="Q80" s="495">
        <f>+SUMIF('13.mell_ÖNKfeladatok2019'!$B$167:$B$321,'14.mell_Önk kiegészítés2019'!$A10,'13.mell_ÖNKfeladatok2019'!AR$167:AR$321)</f>
        <v>17207</v>
      </c>
      <c r="R80" s="495">
        <f>+SUMIF('13.mell_ÖNKfeladatok2019'!$B$167:$B$321,'14.mell_Önk kiegészítés2019'!$A10,'13.mell_ÖNKfeladatok2019'!AV$167:AV$321)</f>
        <v>0</v>
      </c>
      <c r="S80" s="534">
        <f t="shared" si="59"/>
        <v>59568</v>
      </c>
      <c r="T80" s="496">
        <f t="shared" si="60"/>
        <v>59568</v>
      </c>
      <c r="U80" s="1079">
        <f>+ROUND(SUMIF('10.mell_támogatások2019'!$B$6:$B$137,'14.mell_Önk kiegészítés2019'!$A10,'10.mell_támogatások2019'!E$6:E$137)/1000,0)</f>
        <v>14918</v>
      </c>
      <c r="V80" s="497">
        <f t="shared" si="61"/>
        <v>44650</v>
      </c>
      <c r="AB80" s="226"/>
      <c r="AC80" s="226"/>
      <c r="AD80" s="226"/>
      <c r="AE80" s="226"/>
      <c r="AL80" s="486"/>
      <c r="AM80" s="486"/>
      <c r="AN80" s="486"/>
      <c r="AO80" s="486"/>
      <c r="BL80" s="226"/>
      <c r="BM80" s="226"/>
      <c r="BN80" s="226"/>
      <c r="BO80" s="226"/>
      <c r="BX80" s="226"/>
      <c r="BY80" s="226"/>
      <c r="BZ80" s="226"/>
      <c r="CA80" s="226"/>
    </row>
    <row r="81" spans="1:79">
      <c r="A81" s="735">
        <f>+A80+1</f>
        <v>6</v>
      </c>
      <c r="B81" s="494" t="s">
        <v>1160</v>
      </c>
      <c r="C81" s="495">
        <f>+SUMIF('13.mell_ÖNKfeladatok2019'!$B$5:$B$159,'14.mell_Önk kiegészítés2019'!$A11,'13.mell_ÖNKfeladatok2019'!P$5:P$159)</f>
        <v>157263</v>
      </c>
      <c r="D81" s="495">
        <f>+SUMIF('13.mell_ÖNKfeladatok2019'!$B$5:$B$159,'14.mell_Önk kiegészítés2019'!$A11,'13.mell_ÖNKfeladatok2019'!T$5:T$159)</f>
        <v>0</v>
      </c>
      <c r="E81" s="495">
        <f>+SUMIF('13.mell_ÖNKfeladatok2019'!$B$5:$B$159,'14.mell_Önk kiegészítés2019'!$A11,'13.mell_ÖNKfeladatok2019'!X$5:X$159)</f>
        <v>9143</v>
      </c>
      <c r="F81" s="495">
        <f>+SUMIF('13.mell_ÖNKfeladatok2019'!$B$5:$B$159,'14.mell_Önk kiegészítés2019'!$A11,'13.mell_ÖNKfeladatok2019'!AB$5:AB$159)</f>
        <v>0</v>
      </c>
      <c r="G81" s="491">
        <f>+SUMIF('13.mell_ÖNKfeladatok2019'!$B$5:$B$159,'14.mell_Önk kiegészítés2019'!$A11,'13.mell_ÖNKfeladatok2019'!AJ$5:AJ$159)</f>
        <v>4610</v>
      </c>
      <c r="H81" s="495">
        <f>+SUMIF('13.mell_ÖNKfeladatok2019'!$B$5:$B$159,'14.mell_Önk kiegészítés2019'!$A11,'13.mell_ÖNKfeladatok2019'!AN$5:AN$159)</f>
        <v>0</v>
      </c>
      <c r="I81" s="495">
        <f>+SUMIF('13.mell_ÖNKfeladatok2019'!$B$5:$B$159,'14.mell_Önk kiegészítés2019'!$A11,'13.mell_ÖNKfeladatok2019'!AR$5:AR$159)</f>
        <v>0</v>
      </c>
      <c r="J81" s="534">
        <f t="shared" si="58"/>
        <v>171016</v>
      </c>
      <c r="K81" s="495">
        <f>+SUMIF('13.mell_ÖNKfeladatok2019'!$B$167:$B$321,'14.mell_Önk kiegészítés2019'!$A11,'13.mell_ÖNKfeladatok2019'!P$167:P$321)</f>
        <v>125443</v>
      </c>
      <c r="L81" s="495">
        <f>+SUMIF('13.mell_ÖNKfeladatok2019'!$B$167:$B$321,'14.mell_Önk kiegészítés2019'!$A11,'13.mell_ÖNKfeladatok2019'!T$167:T$321)</f>
        <v>12281</v>
      </c>
      <c r="M81" s="495">
        <f>+SUMIF('13.mell_ÖNKfeladatok2019'!$B$167:$B$321,'14.mell_Önk kiegészítés2019'!$A11,'13.mell_ÖNKfeladatok2019'!X$167:X$321)</f>
        <v>40387</v>
      </c>
      <c r="N81" s="495">
        <f>+SUMIF('13.mell_ÖNKfeladatok2019'!$B$167:$B$321,'14.mell_Önk kiegészítés2019'!$A11,'13.mell_ÖNKfeladatok2019'!AB$167:AB$321)</f>
        <v>43459</v>
      </c>
      <c r="O81" s="495">
        <f>+SUMIF('13.mell_ÖNKfeladatok2019'!$B$167:$B$321,'14.mell_Önk kiegészítés2019'!$A11,'13.mell_ÖNKfeladatok2019'!AF$167:AF$321)</f>
        <v>0</v>
      </c>
      <c r="P81" s="495">
        <f>+SUMIF('13.mell_ÖNKfeladatok2019'!$B$167:$B$321,'14.mell_Önk kiegészítés2019'!$A11,'13.mell_ÖNKfeladatok2019'!AN$167:AN$321)</f>
        <v>9128</v>
      </c>
      <c r="Q81" s="495">
        <f>+SUMIF('13.mell_ÖNKfeladatok2019'!$B$167:$B$321,'14.mell_Önk kiegészítés2019'!$A11,'13.mell_ÖNKfeladatok2019'!AR$167:AR$321)</f>
        <v>13684</v>
      </c>
      <c r="R81" s="495">
        <f>+SUMIF('13.mell_ÖNKfeladatok2019'!$B$167:$B$321,'14.mell_Önk kiegészítés2019'!$A11,'13.mell_ÖNKfeladatok2019'!AV$167:AV$321)</f>
        <v>0</v>
      </c>
      <c r="S81" s="534">
        <f t="shared" si="59"/>
        <v>244382</v>
      </c>
      <c r="T81" s="496">
        <f t="shared" si="60"/>
        <v>73366</v>
      </c>
      <c r="U81" s="1079">
        <f>+ROUND(SUMIF('10.mell_támogatások2019'!$B$6:$B$137,'14.mell_Önk kiegészítés2019'!$A11,'10.mell_támogatások2019'!E$6:E$137)/1000,0)</f>
        <v>117374</v>
      </c>
      <c r="V81" s="497">
        <f t="shared" si="61"/>
        <v>-44008</v>
      </c>
      <c r="X81" s="1295">
        <f>+V81+V85+V105+V106+V132-(V105-4139)+6581-3718-('13.mell_ÖNKfeladatok2019'!H184+'13.mell_ÖNKfeladatok2019'!H185+'13.mell_ÖNKfeladatok2019'!H186+'13.mell_ÖNKfeladatok2019'!H187+'13.mell_ÖNKfeladatok2019'!H188-'13.mell_ÖNKfeladatok2019'!H22-'13.mell_ÖNKfeladatok2019'!H23-'13.mell_ÖNKfeladatok2019'!H24-'13.mell_ÖNKfeladatok2019'!H25-'13.mell_ÖNKfeladatok2019'!H26)+1</f>
        <v>7655</v>
      </c>
      <c r="Y81" s="226" t="s">
        <v>1392</v>
      </c>
      <c r="AB81" s="226"/>
      <c r="AC81" s="226"/>
      <c r="AD81" s="226"/>
      <c r="AE81" s="226"/>
      <c r="AH81" s="226">
        <f>((-((9317+1817)+(4714+919)+500))+0)+0+17267</f>
        <v>0</v>
      </c>
      <c r="AJ81" s="1090"/>
      <c r="AK81" s="1090"/>
      <c r="BL81" s="226"/>
      <c r="BM81" s="226"/>
      <c r="BN81" s="226"/>
      <c r="BO81" s="226"/>
      <c r="BX81" s="226"/>
      <c r="BY81" s="226"/>
      <c r="BZ81" s="226"/>
      <c r="CA81" s="226"/>
    </row>
    <row r="82" spans="1:79">
      <c r="A82" s="735">
        <f>A81+1</f>
        <v>7</v>
      </c>
      <c r="B82" s="494" t="s">
        <v>781</v>
      </c>
      <c r="C82" s="495">
        <f>+SUMIF('13.mell_ÖNKfeladatok2019'!$B$5:$B$159,'14.mell_Önk kiegészítés2019'!$A12,'13.mell_ÖNKfeladatok2019'!P$5:P$159)</f>
        <v>368854</v>
      </c>
      <c r="D82" s="495">
        <f>+SUMIF('13.mell_ÖNKfeladatok2019'!$B$5:$B$159,'14.mell_Önk kiegészítés2019'!$A12,'13.mell_ÖNKfeladatok2019'!T$5:T$159)</f>
        <v>0</v>
      </c>
      <c r="E82" s="495">
        <f>+SUMIF('13.mell_ÖNKfeladatok2019'!$B$5:$B$159,'14.mell_Önk kiegészítés2019'!$A12,'13.mell_ÖNKfeladatok2019'!X$5:X$159)</f>
        <v>0</v>
      </c>
      <c r="F82" s="495">
        <f>+SUMIF('13.mell_ÖNKfeladatok2019'!$B$5:$B$159,'14.mell_Önk kiegészítés2019'!$A12,'13.mell_ÖNKfeladatok2019'!AB$5:AB$159)</f>
        <v>0</v>
      </c>
      <c r="G82" s="491">
        <f>+SUMIF('13.mell_ÖNKfeladatok2019'!$B$5:$B$159,'14.mell_Önk kiegészítés2019'!$A12,'13.mell_ÖNKfeladatok2019'!AJ$5:AJ$159)</f>
        <v>828472</v>
      </c>
      <c r="H82" s="495">
        <f>+SUMIF('13.mell_ÖNKfeladatok2019'!$B$5:$B$159,'14.mell_Önk kiegészítés2019'!$A12,'13.mell_ÖNKfeladatok2019'!AN$5:AN$159)</f>
        <v>0</v>
      </c>
      <c r="I82" s="495">
        <f>+SUMIF('13.mell_ÖNKfeladatok2019'!$B$5:$B$159,'14.mell_Önk kiegészítés2019'!$A12,'13.mell_ÖNKfeladatok2019'!AR$5:AR$159)</f>
        <v>0</v>
      </c>
      <c r="J82" s="534">
        <f t="shared" si="58"/>
        <v>1197326</v>
      </c>
      <c r="K82" s="495">
        <f>+SUMIF('13.mell_ÖNKfeladatok2019'!$B$167:$B$321,'14.mell_Önk kiegészítés2019'!$A12,'13.mell_ÖNKfeladatok2019'!P$167:P$321)</f>
        <v>132369</v>
      </c>
      <c r="L82" s="495">
        <f>+SUMIF('13.mell_ÖNKfeladatok2019'!$B$167:$B$321,'14.mell_Önk kiegészítés2019'!$A12,'13.mell_ÖNKfeladatok2019'!T$167:T$321)</f>
        <v>23116</v>
      </c>
      <c r="M82" s="495">
        <f>+SUMIF('13.mell_ÖNKfeladatok2019'!$B$167:$B$321,'14.mell_Önk kiegészítés2019'!$A12,'13.mell_ÖNKfeladatok2019'!X$167:X$321)</f>
        <v>260855</v>
      </c>
      <c r="N82" s="495">
        <f>+SUMIF('13.mell_ÖNKfeladatok2019'!$B$167:$B$321,'14.mell_Önk kiegészítés2019'!$A12,'13.mell_ÖNKfeladatok2019'!AB$167:AB$321)</f>
        <v>0</v>
      </c>
      <c r="O82" s="495">
        <f>+SUMIF('13.mell_ÖNKfeladatok2019'!$B$167:$B$321,'14.mell_Önk kiegészítés2019'!$A12,'13.mell_ÖNKfeladatok2019'!AF$167:AF$321)</f>
        <v>8300</v>
      </c>
      <c r="P82" s="495">
        <f>+SUMIF('13.mell_ÖNKfeladatok2019'!$B$167:$B$321,'14.mell_Önk kiegészítés2019'!$A12,'13.mell_ÖNKfeladatok2019'!AN$167:AN$321)</f>
        <v>687310</v>
      </c>
      <c r="Q82" s="495">
        <f>+SUMIF('13.mell_ÖNKfeladatok2019'!$B$167:$B$321,'14.mell_Önk kiegészítés2019'!$A12,'13.mell_ÖNKfeladatok2019'!AR$167:AR$321)</f>
        <v>182375</v>
      </c>
      <c r="R82" s="495">
        <f>+SUMIF('13.mell_ÖNKfeladatok2019'!$B$167:$B$321,'14.mell_Önk kiegészítés2019'!$A12,'13.mell_ÖNKfeladatok2019'!AV$167:AV$321)</f>
        <v>18</v>
      </c>
      <c r="S82" s="534">
        <f t="shared" si="59"/>
        <v>1294343</v>
      </c>
      <c r="T82" s="496">
        <f t="shared" si="60"/>
        <v>97017</v>
      </c>
      <c r="U82" s="1080">
        <f>+ROUND(SUMIF('10.mell_támogatások2019'!$B$6:$B$137,'14.mell_Önk kiegészítés2019'!$A12,'10.mell_támogatások2019'!E$6:E$137)/1000,0)</f>
        <v>0</v>
      </c>
      <c r="V82" s="497">
        <f t="shared" si="61"/>
        <v>97017</v>
      </c>
      <c r="AB82" s="226"/>
      <c r="AC82" s="226"/>
      <c r="AD82" s="226"/>
      <c r="AE82" s="226"/>
      <c r="AL82" s="486"/>
      <c r="AM82" s="486"/>
      <c r="AN82" s="486"/>
      <c r="AO82" s="486"/>
      <c r="BL82" s="226"/>
      <c r="BM82" s="226"/>
      <c r="BN82" s="226"/>
      <c r="BO82" s="226"/>
      <c r="BX82" s="226"/>
      <c r="BY82" s="226"/>
      <c r="BZ82" s="226"/>
      <c r="CA82" s="226"/>
    </row>
    <row r="83" spans="1:79" ht="12.75" thickBot="1">
      <c r="A83" s="735">
        <f>+A82+1</f>
        <v>8</v>
      </c>
      <c r="B83" s="498" t="s">
        <v>764</v>
      </c>
      <c r="C83" s="495">
        <f>+SUMIF('13.mell_ÖNKfeladatok2019'!$B$5:$B$159,'14.mell_Önk kiegészítés2019'!$A13,'13.mell_ÖNKfeladatok2019'!P$5:P$159)</f>
        <v>927288</v>
      </c>
      <c r="D83" s="499">
        <f>+SUMIF('13.mell_ÖNKfeladatok2019'!$B$5:$B$159,'14.mell_Önk kiegészítés2019'!$A13,'13.mell_ÖNKfeladatok2019'!T$5:T$159)</f>
        <v>541712</v>
      </c>
      <c r="E83" s="499">
        <f>+SUMIF('13.mell_ÖNKfeladatok2019'!$B$5:$B$159,'14.mell_Önk kiegészítés2019'!$A13,'13.mell_ÖNKfeladatok2019'!X$5:X$159)</f>
        <v>91847</v>
      </c>
      <c r="F83" s="499">
        <f>+SUMIF('13.mell_ÖNKfeladatok2019'!$B$5:$B$159,'14.mell_Önk kiegészítés2019'!$A13,'13.mell_ÖNKfeladatok2019'!AB$5:AB$159)</f>
        <v>54812</v>
      </c>
      <c r="G83" s="491">
        <f>+SUMIF('13.mell_ÖNKfeladatok2019'!$B$5:$B$159,'14.mell_Önk kiegészítés2019'!$A13,'13.mell_ÖNKfeladatok2019'!AJ$5:AJ$159)</f>
        <v>382626</v>
      </c>
      <c r="H83" s="499">
        <f>+SUMIF('13.mell_ÖNKfeladatok2019'!$B$5:$B$159,'14.mell_Önk kiegészítés2019'!$A13,'13.mell_ÖNKfeladatok2019'!AN$5:AN$159)</f>
        <v>4878</v>
      </c>
      <c r="I83" s="499">
        <f>+SUMIF('13.mell_ÖNKfeladatok2019'!$B$5:$B$159,'14.mell_Önk kiegészítés2019'!$A13,'13.mell_ÖNKfeladatok2019'!AR$5:AR$159)</f>
        <v>0</v>
      </c>
      <c r="J83" s="534">
        <f t="shared" si="58"/>
        <v>2003163</v>
      </c>
      <c r="K83" s="495">
        <f>+SUMIF('13.mell_ÖNKfeladatok2019'!$B$167:$B$321,'14.mell_Önk kiegészítés2019'!$A13,'13.mell_ÖNKfeladatok2019'!P$167:P$321)</f>
        <v>9945</v>
      </c>
      <c r="L83" s="495">
        <f>+SUMIF('13.mell_ÖNKfeladatok2019'!$B$167:$B$321,'14.mell_Önk kiegészítés2019'!$A13,'13.mell_ÖNKfeladatok2019'!T$167:T$321)</f>
        <v>3939</v>
      </c>
      <c r="M83" s="495">
        <f>+SUMIF('13.mell_ÖNKfeladatok2019'!$B$167:$B$321,'14.mell_Önk kiegészítés2019'!$A13,'13.mell_ÖNKfeladatok2019'!X$167:X$321)</f>
        <v>240362</v>
      </c>
      <c r="N83" s="495">
        <f>+SUMIF('13.mell_ÖNKfeladatok2019'!$B$167:$B$321,'14.mell_Önk kiegészítés2019'!$A13,'13.mell_ÖNKfeladatok2019'!AB$167:AB$321)</f>
        <v>0</v>
      </c>
      <c r="O83" s="495">
        <f>+SUMIF('13.mell_ÖNKfeladatok2019'!$B$167:$B$321,'14.mell_Önk kiegészítés2019'!$A13,'13.mell_ÖNKfeladatok2019'!AF$167:AF$321)</f>
        <v>3205472</v>
      </c>
      <c r="P83" s="495">
        <f>+SUMIF('13.mell_ÖNKfeladatok2019'!$B$167:$B$321,'14.mell_Önk kiegészítés2019'!$A13,'13.mell_ÖNKfeladatok2019'!AN$167:AN$321)</f>
        <v>177417</v>
      </c>
      <c r="Q83" s="495">
        <f>+SUMIF('13.mell_ÖNKfeladatok2019'!$B$167:$B$321,'14.mell_Önk kiegészítés2019'!$A13,'13.mell_ÖNKfeladatok2019'!AR$167:AR$321)</f>
        <v>200366</v>
      </c>
      <c r="R83" s="495">
        <f>+SUMIF('13.mell_ÖNKfeladatok2019'!$B$167:$B$321,'14.mell_Önk kiegészítés2019'!$A13,'13.mell_ÖNKfeladatok2019'!AV$167:AV$321)</f>
        <v>0</v>
      </c>
      <c r="S83" s="534">
        <f t="shared" si="59"/>
        <v>3837501</v>
      </c>
      <c r="T83" s="496">
        <f t="shared" si="60"/>
        <v>1834338</v>
      </c>
      <c r="U83" s="1080">
        <f>-ROUND('10.mell_támogatások2019'!$E$137/1000,0)+ROUND(SUMIF('10.mell_támogatások2019'!$B$6:$B$137,'14.mell_Önk kiegészítés2019'!$A13,'10.mell_támogatások2019'!E$6:E$137)/1000,0)+3084209-26396-928+1</f>
        <v>2290126</v>
      </c>
      <c r="V83" s="497">
        <f t="shared" si="61"/>
        <v>-455788</v>
      </c>
      <c r="AB83" s="226">
        <v>3084209</v>
      </c>
      <c r="AC83" s="226">
        <f>0+(-25496-900)</f>
        <v>-26396</v>
      </c>
      <c r="AD83" s="226"/>
      <c r="AE83" s="226">
        <f>(-472+(-26-42-85))+(-38-62-127)-13-21-42</f>
        <v>-928</v>
      </c>
      <c r="AL83" s="486"/>
      <c r="AM83" s="486"/>
      <c r="AN83" s="486"/>
      <c r="AO83" s="486"/>
      <c r="BL83" s="226"/>
      <c r="BM83" s="226"/>
      <c r="BN83" s="226"/>
      <c r="BO83" s="226"/>
      <c r="BX83" s="226"/>
      <c r="BY83" s="226"/>
      <c r="BZ83" s="226"/>
      <c r="CA83" s="226"/>
    </row>
    <row r="84" spans="1:79" ht="12.75" thickBot="1">
      <c r="A84" s="500" t="s">
        <v>596</v>
      </c>
      <c r="B84" s="501" t="s">
        <v>411</v>
      </c>
      <c r="C84" s="502">
        <f>SUM(C76:C83)</f>
        <v>1453405</v>
      </c>
      <c r="D84" s="503">
        <f t="shared" ref="D84" si="62">SUM(D76:D83)</f>
        <v>541712</v>
      </c>
      <c r="E84" s="503">
        <f t="shared" ref="E84" si="63">SUM(E76:E83)</f>
        <v>101040</v>
      </c>
      <c r="F84" s="503">
        <f t="shared" ref="F84" si="64">SUM(F76:F83)</f>
        <v>54812</v>
      </c>
      <c r="G84" s="503">
        <f t="shared" ref="G84" si="65">SUM(G76:G83)</f>
        <v>1215708</v>
      </c>
      <c r="H84" s="503">
        <f t="shared" ref="H84" si="66">SUM(H76:H83)</f>
        <v>4878</v>
      </c>
      <c r="I84" s="504">
        <f t="shared" ref="I84:J84" si="67">SUM(I76:I83)</f>
        <v>0</v>
      </c>
      <c r="J84" s="505">
        <f t="shared" si="67"/>
        <v>3371555</v>
      </c>
      <c r="K84" s="502">
        <f t="shared" ref="K84" si="68">SUM(K76:K83)</f>
        <v>306050</v>
      </c>
      <c r="L84" s="502">
        <f t="shared" ref="L84" si="69">SUM(L76:L83)</f>
        <v>45507</v>
      </c>
      <c r="M84" s="502">
        <f t="shared" ref="M84" si="70">SUM(M76:M83)</f>
        <v>615887</v>
      </c>
      <c r="N84" s="502">
        <f t="shared" ref="N84" si="71">SUM(N76:N83)</f>
        <v>43459</v>
      </c>
      <c r="O84" s="502">
        <f t="shared" ref="O84" si="72">SUM(O76:O83)</f>
        <v>3213772</v>
      </c>
      <c r="P84" s="502">
        <f t="shared" ref="P84" si="73">SUM(P76:P83)</f>
        <v>879656</v>
      </c>
      <c r="Q84" s="502">
        <f t="shared" ref="Q84" si="74">SUM(Q76:Q83)</f>
        <v>415189</v>
      </c>
      <c r="R84" s="502">
        <f t="shared" ref="R84:S84" si="75">SUM(R76:R83)</f>
        <v>18</v>
      </c>
      <c r="S84" s="505">
        <f t="shared" si="75"/>
        <v>5519538</v>
      </c>
      <c r="T84" s="502">
        <f t="shared" ref="T84" si="76">SUM(T76:T83)</f>
        <v>2147983</v>
      </c>
      <c r="U84" s="506">
        <f t="shared" ref="U84" si="77">SUM(U76:U83)</f>
        <v>2467948</v>
      </c>
      <c r="V84" s="505">
        <f t="shared" ref="V84" si="78">SUM(V76:V83)</f>
        <v>-319965</v>
      </c>
      <c r="X84" s="486"/>
      <c r="Y84" s="486"/>
      <c r="Z84" s="486"/>
      <c r="AB84" s="226"/>
      <c r="AC84" s="226"/>
      <c r="AD84" s="226"/>
      <c r="AE84" s="226"/>
      <c r="AL84" s="486"/>
      <c r="AM84" s="486"/>
      <c r="AN84" s="486"/>
      <c r="AO84" s="486"/>
      <c r="BL84" s="226"/>
      <c r="BM84" s="226"/>
      <c r="BN84" s="226"/>
      <c r="BO84" s="226"/>
      <c r="BX84" s="226"/>
      <c r="BY84" s="226"/>
      <c r="BZ84" s="226"/>
      <c r="CA84" s="226"/>
    </row>
    <row r="85" spans="1:79" ht="12.75">
      <c r="A85" s="735">
        <f>+A83+1</f>
        <v>9</v>
      </c>
      <c r="B85" s="498" t="s">
        <v>779</v>
      </c>
      <c r="C85" s="499">
        <f>+SUMIF('13.mell_ÖNKfeladatok2019'!$B$5:$B$159,'14.mell_Önk kiegészítés2019'!$A15,'13.mell_ÖNKfeladatok2019'!P$5:P$159)</f>
        <v>100</v>
      </c>
      <c r="D85" s="499">
        <f>+SUMIF('13.mell_ÖNKfeladatok2019'!$B$5:$B$159,'14.mell_Önk kiegészítés2019'!$A15,'13.mell_ÖNKfeladatok2019'!T$5:T$159)</f>
        <v>0</v>
      </c>
      <c r="E85" s="499">
        <f>+SUMIF('13.mell_ÖNKfeladatok2019'!$B$5:$B$159,'14.mell_Önk kiegészítés2019'!$A15,'13.mell_ÖNKfeladatok2019'!X$5:X$159)</f>
        <v>0</v>
      </c>
      <c r="F85" s="499">
        <f>+SUMIF('13.mell_ÖNKfeladatok2019'!$B$5:$B$159,'14.mell_Önk kiegészítés2019'!$A15,'13.mell_ÖNKfeladatok2019'!AB$5:AB$159)</f>
        <v>0</v>
      </c>
      <c r="G85" s="499">
        <f>+SUMIF('13.mell_ÖNKfeladatok2019'!$B$5:$B$159,'14.mell_Önk kiegészítés2019'!$A15,'13.mell_ÖNKfeladatok2019'!AJ$5:AJ$159)</f>
        <v>0</v>
      </c>
      <c r="H85" s="499">
        <f>+SUMIF('13.mell_ÖNKfeladatok2019'!$B$5:$B$159,'14.mell_Önk kiegészítés2019'!$A15,'13.mell_ÖNKfeladatok2019'!AN$5:AN$159)</f>
        <v>0</v>
      </c>
      <c r="I85" s="499">
        <f>+SUMIF('13.mell_ÖNKfeladatok2019'!$B$5:$B$159,'14.mell_Önk kiegészítés2019'!$A15,'13.mell_ÖNKfeladatok2019'!AR$5:AR$159)</f>
        <v>0</v>
      </c>
      <c r="J85" s="535">
        <f>SUM(C85:I85)</f>
        <v>100</v>
      </c>
      <c r="K85" s="495">
        <f>+SUMIF('13.mell_ÖNKfeladatok2019'!$B$167:$B$321,'14.mell_Önk kiegészítés2019'!$A15,'13.mell_ÖNKfeladatok2019'!P$167:P$321)</f>
        <v>0</v>
      </c>
      <c r="L85" s="495">
        <f>+SUMIF('13.mell_ÖNKfeladatok2019'!$B$167:$B$321,'14.mell_Önk kiegészítés2019'!$A15,'13.mell_ÖNKfeladatok2019'!T$167:T$321)</f>
        <v>0</v>
      </c>
      <c r="M85" s="495">
        <f>+SUMIF('13.mell_ÖNKfeladatok2019'!$B$167:$B$321,'14.mell_Önk kiegészítés2019'!$A15,'13.mell_ÖNKfeladatok2019'!X$167:X$321)</f>
        <v>5383</v>
      </c>
      <c r="N85" s="495">
        <f>+SUMIF('13.mell_ÖNKfeladatok2019'!$B$167:$B$321,'14.mell_Önk kiegészítés2019'!$A15,'13.mell_ÖNKfeladatok2019'!AB$167:AB$321)</f>
        <v>0</v>
      </c>
      <c r="O85" s="495">
        <f>+SUMIF('13.mell_ÖNKfeladatok2019'!$B$167:$B$321,'14.mell_Önk kiegészítés2019'!$A15,'13.mell_ÖNKfeladatok2019'!AF$167:AF$321)</f>
        <v>275</v>
      </c>
      <c r="P85" s="495">
        <f>+SUMIF('13.mell_ÖNKfeladatok2019'!$B$167:$B$321,'14.mell_Önk kiegészítés2019'!$A15,'13.mell_ÖNKfeladatok2019'!AN$167:AN$321)</f>
        <v>0</v>
      </c>
      <c r="Q85" s="495">
        <f>+SUMIF('13.mell_ÖNKfeladatok2019'!$B$167:$B$321,'14.mell_Önk kiegészítés2019'!$A15,'13.mell_ÖNKfeladatok2019'!AR$167:AR$321)</f>
        <v>0</v>
      </c>
      <c r="R85" s="495">
        <f>+SUMIF('13.mell_ÖNKfeladatok2019'!$B$167:$B$321,'14.mell_Önk kiegészítés2019'!$A15,'13.mell_ÖNKfeladatok2019'!AV$167:AV$321)</f>
        <v>0</v>
      </c>
      <c r="S85" s="534">
        <f>SUM(K85:R85)</f>
        <v>5658</v>
      </c>
      <c r="T85" s="496">
        <f>S85-J85</f>
        <v>5558</v>
      </c>
      <c r="U85" s="1081">
        <f>+ROUND(SUMIF('10.mell_támogatások2019'!$B$6:$B$137,'14.mell_Önk kiegészítés2019'!$A15,'10.mell_támogatások2019'!E$6:E$137)/1000,0)</f>
        <v>0</v>
      </c>
      <c r="V85" s="497">
        <f>+T85-U85</f>
        <v>5558</v>
      </c>
      <c r="AB85" s="226"/>
      <c r="AC85" s="226"/>
      <c r="AD85" s="226"/>
      <c r="AE85" s="226"/>
      <c r="AL85" s="486"/>
      <c r="AM85" s="486"/>
      <c r="AN85" s="486"/>
      <c r="AO85" s="486"/>
      <c r="BL85" s="226"/>
      <c r="BM85" s="226"/>
      <c r="BN85" s="226"/>
      <c r="BO85" s="226"/>
      <c r="BX85" s="226"/>
      <c r="BY85" s="226"/>
      <c r="BZ85" s="226"/>
      <c r="CA85" s="226"/>
    </row>
    <row r="86" spans="1:79" ht="12.75" thickBot="1">
      <c r="A86" s="735">
        <f>+A85+1</f>
        <v>10</v>
      </c>
      <c r="B86" s="498" t="s">
        <v>765</v>
      </c>
      <c r="C86" s="499">
        <f>+SUMIF('13.mell_ÖNKfeladatok2019'!$B$5:$B$159,'14.mell_Önk kiegészítés2019'!$A16,'13.mell_ÖNKfeladatok2019'!P$5:P$159)</f>
        <v>0</v>
      </c>
      <c r="D86" s="499">
        <f>+SUMIF('13.mell_ÖNKfeladatok2019'!$B$5:$B$159,'14.mell_Önk kiegészítés2019'!$A16,'13.mell_ÖNKfeladatok2019'!T$5:T$159)</f>
        <v>0</v>
      </c>
      <c r="E86" s="499">
        <f>+SUMIF('13.mell_ÖNKfeladatok2019'!$B$5:$B$159,'14.mell_Önk kiegészítés2019'!$A16,'13.mell_ÖNKfeladatok2019'!X$5:X$159)</f>
        <v>0</v>
      </c>
      <c r="F86" s="499">
        <f>+SUMIF('13.mell_ÖNKfeladatok2019'!$B$5:$B$159,'14.mell_Önk kiegészítés2019'!$A16,'13.mell_ÖNKfeladatok2019'!AB$5:AB$159)</f>
        <v>0</v>
      </c>
      <c r="G86" s="499">
        <f>+SUMIF('13.mell_ÖNKfeladatok2019'!$B$5:$B$159,'14.mell_Önk kiegészítés2019'!$A16,'13.mell_ÖNKfeladatok2019'!AJ$5:AJ$159)</f>
        <v>0</v>
      </c>
      <c r="H86" s="499">
        <f>+SUMIF('13.mell_ÖNKfeladatok2019'!$B$5:$B$159,'14.mell_Önk kiegészítés2019'!$A16,'13.mell_ÖNKfeladatok2019'!AN$5:AN$159)</f>
        <v>0</v>
      </c>
      <c r="I86" s="499">
        <f>+SUMIF('13.mell_ÖNKfeladatok2019'!$B$5:$B$159,'14.mell_Önk kiegészítés2019'!$A16,'13.mell_ÖNKfeladatok2019'!AR$5:AR$159)</f>
        <v>6552</v>
      </c>
      <c r="J86" s="535">
        <f>SUM(C86:I86)</f>
        <v>6552</v>
      </c>
      <c r="K86" s="495">
        <f>+SUMIF('13.mell_ÖNKfeladatok2019'!$B$167:$B$321,'14.mell_Önk kiegészítés2019'!$A16,'13.mell_ÖNKfeladatok2019'!P$167:P$321)</f>
        <v>0</v>
      </c>
      <c r="L86" s="495">
        <f>+SUMIF('13.mell_ÖNKfeladatok2019'!$B$167:$B$321,'14.mell_Önk kiegészítés2019'!$A16,'13.mell_ÖNKfeladatok2019'!T$167:T$321)</f>
        <v>0</v>
      </c>
      <c r="M86" s="495">
        <f>+SUMIF('13.mell_ÖNKfeladatok2019'!$B$167:$B$321,'14.mell_Önk kiegészítés2019'!$A16,'13.mell_ÖNKfeladatok2019'!X$167:X$321)</f>
        <v>0</v>
      </c>
      <c r="N86" s="495">
        <f>+SUMIF('13.mell_ÖNKfeladatok2019'!$B$167:$B$321,'14.mell_Önk kiegészítés2019'!$A16,'13.mell_ÖNKfeladatok2019'!AB$167:AB$321)</f>
        <v>0</v>
      </c>
      <c r="O86" s="495">
        <f>+SUMIF('13.mell_ÖNKfeladatok2019'!$B$167:$B$321,'14.mell_Önk kiegészítés2019'!$A16,'13.mell_ÖNKfeladatok2019'!AF$167:AF$321)</f>
        <v>900</v>
      </c>
      <c r="P86" s="495">
        <f>+SUMIF('13.mell_ÖNKfeladatok2019'!$B$167:$B$321,'14.mell_Önk kiegészítés2019'!$A16,'13.mell_ÖNKfeladatok2019'!AN$167:AN$321)</f>
        <v>4750</v>
      </c>
      <c r="Q86" s="495">
        <f>+SUMIF('13.mell_ÖNKfeladatok2019'!$B$167:$B$321,'14.mell_Önk kiegészítés2019'!$A16,'13.mell_ÖNKfeladatok2019'!AR$167:AR$321)</f>
        <v>0</v>
      </c>
      <c r="R86" s="495">
        <f>+SUMIF('13.mell_ÖNKfeladatok2019'!$B$167:$B$321,'14.mell_Önk kiegészítés2019'!$A16,'13.mell_ÖNKfeladatok2019'!AV$167:AV$321)</f>
        <v>0</v>
      </c>
      <c r="S86" s="534">
        <f>SUM(K86:R86)</f>
        <v>5650</v>
      </c>
      <c r="T86" s="496">
        <f>S86-J86</f>
        <v>-902</v>
      </c>
      <c r="U86" s="1080">
        <f>+ROUND(SUMIF('10.mell_támogatások2019'!$B$6:$B$137,'14.mell_Önk kiegészítés2019'!$A16,'10.mell_támogatások2019'!E$6:E$137)/1000,0)</f>
        <v>0</v>
      </c>
      <c r="V86" s="497">
        <f>+T86-U86</f>
        <v>-902</v>
      </c>
      <c r="AB86" s="226"/>
      <c r="AC86" s="226"/>
      <c r="AD86" s="226"/>
      <c r="AE86" s="226"/>
      <c r="AL86" s="486"/>
      <c r="AM86" s="486"/>
      <c r="AN86" s="486"/>
      <c r="AO86" s="486"/>
      <c r="BL86" s="226"/>
      <c r="BM86" s="226"/>
      <c r="BN86" s="226"/>
      <c r="BO86" s="226"/>
      <c r="BX86" s="226"/>
      <c r="BY86" s="226"/>
      <c r="BZ86" s="226"/>
      <c r="CA86" s="226"/>
    </row>
    <row r="87" spans="1:79" ht="12.75" thickBot="1">
      <c r="A87" s="500" t="s">
        <v>597</v>
      </c>
      <c r="B87" s="501" t="s">
        <v>412</v>
      </c>
      <c r="C87" s="502">
        <f t="shared" ref="C87" si="79">SUM(C85:C86)</f>
        <v>100</v>
      </c>
      <c r="D87" s="503">
        <f t="shared" ref="D87" si="80">SUM(D85:D86)</f>
        <v>0</v>
      </c>
      <c r="E87" s="503">
        <f t="shared" ref="E87" si="81">SUM(E85:E86)</f>
        <v>0</v>
      </c>
      <c r="F87" s="503">
        <f t="shared" ref="F87" si="82">SUM(F85:F86)</f>
        <v>0</v>
      </c>
      <c r="G87" s="503">
        <f t="shared" ref="G87" si="83">SUM(G85:G86)</f>
        <v>0</v>
      </c>
      <c r="H87" s="503">
        <f t="shared" ref="H87" si="84">SUM(H85:H86)</f>
        <v>0</v>
      </c>
      <c r="I87" s="506">
        <f t="shared" ref="I87:J87" si="85">SUM(I85:I86)</f>
        <v>6552</v>
      </c>
      <c r="J87" s="505">
        <f t="shared" si="85"/>
        <v>6652</v>
      </c>
      <c r="K87" s="502">
        <f t="shared" ref="K87" si="86">SUM(K85:K86)</f>
        <v>0</v>
      </c>
      <c r="L87" s="502">
        <f t="shared" ref="L87" si="87">SUM(L85:L86)</f>
        <v>0</v>
      </c>
      <c r="M87" s="502">
        <f t="shared" ref="M87" si="88">SUM(M85:M86)</f>
        <v>5383</v>
      </c>
      <c r="N87" s="502">
        <f t="shared" ref="N87" si="89">SUM(N85:N86)</f>
        <v>0</v>
      </c>
      <c r="O87" s="502">
        <f t="shared" ref="O87" si="90">SUM(O85:O86)</f>
        <v>1175</v>
      </c>
      <c r="P87" s="502">
        <f t="shared" ref="P87" si="91">SUM(P85:P86)</f>
        <v>4750</v>
      </c>
      <c r="Q87" s="502">
        <f t="shared" ref="Q87" si="92">SUM(Q85:Q86)</f>
        <v>0</v>
      </c>
      <c r="R87" s="502">
        <f t="shared" ref="R87:S87" si="93">SUM(R85:R86)</f>
        <v>0</v>
      </c>
      <c r="S87" s="505">
        <f t="shared" si="93"/>
        <v>11308</v>
      </c>
      <c r="T87" s="502">
        <f t="shared" ref="T87" si="94">SUM(T85:T86)</f>
        <v>4656</v>
      </c>
      <c r="U87" s="506">
        <f t="shared" ref="U87" si="95">SUM(U85:U86)</f>
        <v>0</v>
      </c>
      <c r="V87" s="505">
        <f t="shared" ref="V87" si="96">SUM(V85:V86)</f>
        <v>4656</v>
      </c>
      <c r="X87" s="486"/>
      <c r="Y87" s="486"/>
      <c r="Z87" s="486"/>
      <c r="AB87" s="226"/>
      <c r="AC87" s="226"/>
      <c r="AD87" s="226"/>
      <c r="AE87" s="226"/>
      <c r="AL87" s="486"/>
      <c r="AM87" s="486"/>
      <c r="AN87" s="486"/>
      <c r="AO87" s="486"/>
      <c r="BL87" s="226"/>
      <c r="BM87" s="226"/>
      <c r="BN87" s="226"/>
      <c r="BO87" s="226"/>
      <c r="BX87" s="226"/>
      <c r="BY87" s="226"/>
      <c r="BZ87" s="226"/>
      <c r="CA87" s="226"/>
    </row>
    <row r="88" spans="1:79" ht="12.75" thickBot="1">
      <c r="A88" s="735">
        <f>+A86+1</f>
        <v>11</v>
      </c>
      <c r="B88" s="507" t="s">
        <v>413</v>
      </c>
      <c r="C88" s="508">
        <f>+SUMIF('13.mell_ÖNKfeladatok2019'!$B$5:$B$159,'14.mell_Önk kiegészítés2019'!$A18,'13.mell_ÖNKfeladatok2019'!P$5:P$159)</f>
        <v>0</v>
      </c>
      <c r="D88" s="508">
        <f>+SUMIF('13.mell_ÖNKfeladatok2019'!$B$5:$B$159,'14.mell_Önk kiegészítés2019'!$A18,'13.mell_ÖNKfeladatok2019'!T$5:T$159)</f>
        <v>0</v>
      </c>
      <c r="E88" s="508">
        <f>+SUMIF('13.mell_ÖNKfeladatok2019'!$B$5:$B$159,'14.mell_Önk kiegészítés2019'!$A18,'13.mell_ÖNKfeladatok2019'!X$5:X$159)</f>
        <v>0</v>
      </c>
      <c r="F88" s="508">
        <f>+SUMIF('13.mell_ÖNKfeladatok2019'!$B$5:$B$159,'14.mell_Önk kiegészítés2019'!$A18,'13.mell_ÖNKfeladatok2019'!AB$5:AB$159)</f>
        <v>0</v>
      </c>
      <c r="G88" s="508">
        <f>+SUMIF('13.mell_ÖNKfeladatok2019'!$B$5:$B$159,'14.mell_Önk kiegészítés2019'!$A18,'13.mell_ÖNKfeladatok2019'!AJ$5:AJ$159)</f>
        <v>0</v>
      </c>
      <c r="H88" s="508">
        <f>+SUMIF('13.mell_ÖNKfeladatok2019'!$B$5:$B$159,'14.mell_Önk kiegészítés2019'!$A18,'13.mell_ÖNKfeladatok2019'!AN$5:AN$159)</f>
        <v>0</v>
      </c>
      <c r="I88" s="508">
        <f>+SUMIF('13.mell_ÖNKfeladatok2019'!$B$5:$B$159,'14.mell_Önk kiegészítés2019'!$A18,'13.mell_ÖNKfeladatok2019'!AR$5:AR$159)</f>
        <v>0</v>
      </c>
      <c r="J88" s="536">
        <f>SUM(C88:I88)</f>
        <v>0</v>
      </c>
      <c r="K88" s="495">
        <f>+SUMIF('13.mell_ÖNKfeladatok2019'!$B$167:$B$321,'14.mell_Önk kiegészítés2019'!$A18,'13.mell_ÖNKfeladatok2019'!P$167:P$321)</f>
        <v>0</v>
      </c>
      <c r="L88" s="495">
        <f>+SUMIF('13.mell_ÖNKfeladatok2019'!$B$167:$B$321,'14.mell_Önk kiegészítés2019'!$A18,'13.mell_ÖNKfeladatok2019'!T$167:T$321)</f>
        <v>0</v>
      </c>
      <c r="M88" s="495">
        <f>+SUMIF('13.mell_ÖNKfeladatok2019'!$B$167:$B$321,'14.mell_Önk kiegészítés2019'!$A18,'13.mell_ÖNKfeladatok2019'!X$167:X$321)</f>
        <v>0</v>
      </c>
      <c r="N88" s="495">
        <f>+SUMIF('13.mell_ÖNKfeladatok2019'!$B$167:$B$321,'14.mell_Önk kiegészítés2019'!$A18,'13.mell_ÖNKfeladatok2019'!AB$167:AB$321)</f>
        <v>0</v>
      </c>
      <c r="O88" s="495">
        <f>+SUMIF('13.mell_ÖNKfeladatok2019'!$B$167:$B$321,'14.mell_Önk kiegészítés2019'!$A18,'13.mell_ÖNKfeladatok2019'!AF$167:AF$321)</f>
        <v>0</v>
      </c>
      <c r="P88" s="495">
        <f>+SUMIF('13.mell_ÖNKfeladatok2019'!$B$167:$B$321,'14.mell_Önk kiegészítés2019'!$A18,'13.mell_ÖNKfeladatok2019'!AN$167:AN$321)</f>
        <v>0</v>
      </c>
      <c r="Q88" s="495">
        <f>+SUMIF('13.mell_ÖNKfeladatok2019'!$B$167:$B$321,'14.mell_Önk kiegészítés2019'!$A18,'13.mell_ÖNKfeladatok2019'!AR$167:AR$321)</f>
        <v>0</v>
      </c>
      <c r="R88" s="495">
        <f>+SUMIF('13.mell_ÖNKfeladatok2019'!$B$167:$B$321,'14.mell_Önk kiegészítés2019'!$A18,'13.mell_ÖNKfeladatok2019'!AV$167:AV$321)</f>
        <v>0</v>
      </c>
      <c r="S88" s="534">
        <f>SUM(K88:R88)</f>
        <v>0</v>
      </c>
      <c r="T88" s="496">
        <f>S88-J88</f>
        <v>0</v>
      </c>
      <c r="U88" s="1080">
        <f>+ROUND(SUMIF('10.mell_támogatások2019'!$B$6:$B$137,'14.mell_Önk kiegészítés2019'!$A18,'10.mell_támogatások2019'!E$6:E$137)/1000,0)</f>
        <v>0</v>
      </c>
      <c r="V88" s="497">
        <f>+T88-U88</f>
        <v>0</v>
      </c>
      <c r="AB88" s="226"/>
      <c r="AC88" s="226"/>
      <c r="AD88" s="226"/>
      <c r="AE88" s="226"/>
      <c r="AL88" s="486"/>
      <c r="AM88" s="486"/>
      <c r="AN88" s="486"/>
      <c r="AO88" s="486"/>
      <c r="BL88" s="226"/>
      <c r="BM88" s="226"/>
      <c r="BN88" s="226"/>
      <c r="BO88" s="226"/>
      <c r="BX88" s="226"/>
      <c r="BY88" s="226"/>
      <c r="BZ88" s="226"/>
      <c r="CA88" s="226"/>
    </row>
    <row r="89" spans="1:79" ht="12.75" thickBot="1">
      <c r="A89" s="500" t="s">
        <v>598</v>
      </c>
      <c r="B89" s="501" t="s">
        <v>413</v>
      </c>
      <c r="C89" s="502">
        <f>SUM(C88)</f>
        <v>0</v>
      </c>
      <c r="D89" s="503">
        <f t="shared" ref="D89" si="97">SUM(D88)</f>
        <v>0</v>
      </c>
      <c r="E89" s="503">
        <f t="shared" ref="E89" si="98">SUM(E88)</f>
        <v>0</v>
      </c>
      <c r="F89" s="503">
        <f t="shared" ref="F89" si="99">SUM(F88)</f>
        <v>0</v>
      </c>
      <c r="G89" s="503">
        <f t="shared" ref="G89" si="100">SUM(G88)</f>
        <v>0</v>
      </c>
      <c r="H89" s="503">
        <f t="shared" ref="H89" si="101">SUM(H88)</f>
        <v>0</v>
      </c>
      <c r="I89" s="506">
        <f t="shared" ref="I89:J89" si="102">SUM(I88)</f>
        <v>0</v>
      </c>
      <c r="J89" s="505">
        <f t="shared" si="102"/>
        <v>0</v>
      </c>
      <c r="K89" s="502">
        <f t="shared" ref="K89" si="103">SUM(K88)</f>
        <v>0</v>
      </c>
      <c r="L89" s="502">
        <f t="shared" ref="L89" si="104">SUM(L88)</f>
        <v>0</v>
      </c>
      <c r="M89" s="502">
        <f t="shared" ref="M89" si="105">SUM(M88)</f>
        <v>0</v>
      </c>
      <c r="N89" s="502">
        <f t="shared" ref="N89" si="106">SUM(N88)</f>
        <v>0</v>
      </c>
      <c r="O89" s="502">
        <f t="shared" ref="O89" si="107">SUM(O88)</f>
        <v>0</v>
      </c>
      <c r="P89" s="502">
        <f t="shared" ref="P89" si="108">SUM(P88)</f>
        <v>0</v>
      </c>
      <c r="Q89" s="502">
        <f t="shared" ref="Q89" si="109">SUM(Q88)</f>
        <v>0</v>
      </c>
      <c r="R89" s="502">
        <f t="shared" ref="R89:S89" si="110">SUM(R88)</f>
        <v>0</v>
      </c>
      <c r="S89" s="505">
        <f t="shared" si="110"/>
        <v>0</v>
      </c>
      <c r="T89" s="502">
        <f t="shared" ref="T89" si="111">SUM(T88)</f>
        <v>0</v>
      </c>
      <c r="U89" s="506">
        <f t="shared" ref="U89" si="112">SUM(U88)</f>
        <v>0</v>
      </c>
      <c r="V89" s="505">
        <f t="shared" ref="V89" si="113">SUM(V88)</f>
        <v>0</v>
      </c>
      <c r="X89" s="486"/>
      <c r="Y89" s="486"/>
      <c r="Z89" s="486"/>
      <c r="AB89" s="226"/>
      <c r="AC89" s="226"/>
      <c r="AD89" s="226"/>
      <c r="AE89" s="226"/>
      <c r="AL89" s="486"/>
      <c r="AM89" s="486"/>
      <c r="AN89" s="486"/>
      <c r="AO89" s="486"/>
      <c r="BL89" s="226"/>
      <c r="BM89" s="226"/>
      <c r="BN89" s="226"/>
      <c r="BO89" s="226"/>
      <c r="BX89" s="226"/>
      <c r="BY89" s="226"/>
      <c r="BZ89" s="226"/>
      <c r="CA89" s="226"/>
    </row>
    <row r="90" spans="1:79" ht="12.75" thickBot="1">
      <c r="A90" s="509" t="s">
        <v>23</v>
      </c>
      <c r="B90" s="510" t="s">
        <v>414</v>
      </c>
      <c r="C90" s="511">
        <f t="shared" ref="C90" si="114">+C84+C87+C89</f>
        <v>1453505</v>
      </c>
      <c r="D90" s="512">
        <f t="shared" ref="D90" si="115">+D84+D87+D89</f>
        <v>541712</v>
      </c>
      <c r="E90" s="512">
        <f t="shared" ref="E90" si="116">+E84+E87+E89</f>
        <v>101040</v>
      </c>
      <c r="F90" s="512">
        <f t="shared" ref="F90" si="117">+F84+F87+F89</f>
        <v>54812</v>
      </c>
      <c r="G90" s="512">
        <f t="shared" ref="G90" si="118">+G84+G87+G89</f>
        <v>1215708</v>
      </c>
      <c r="H90" s="512">
        <f t="shared" ref="H90" si="119">+H84+H87+H89</f>
        <v>4878</v>
      </c>
      <c r="I90" s="513">
        <f t="shared" ref="I90:J90" si="120">+I84+I87+I89</f>
        <v>6552</v>
      </c>
      <c r="J90" s="514">
        <f t="shared" si="120"/>
        <v>3378207</v>
      </c>
      <c r="K90" s="511">
        <f t="shared" ref="K90" si="121">+K84+K87+K89</f>
        <v>306050</v>
      </c>
      <c r="L90" s="511">
        <f t="shared" ref="L90" si="122">+L84+L87+L89</f>
        <v>45507</v>
      </c>
      <c r="M90" s="511">
        <f t="shared" ref="M90" si="123">+M84+M87+M89</f>
        <v>621270</v>
      </c>
      <c r="N90" s="511">
        <f t="shared" ref="N90" si="124">+N84+N87+N89</f>
        <v>43459</v>
      </c>
      <c r="O90" s="511">
        <f t="shared" ref="O90" si="125">+O84+O87+O89</f>
        <v>3214947</v>
      </c>
      <c r="P90" s="511">
        <f t="shared" ref="P90" si="126">+P84+P87+P89</f>
        <v>884406</v>
      </c>
      <c r="Q90" s="511">
        <f t="shared" ref="Q90" si="127">+Q84+Q87+Q89</f>
        <v>415189</v>
      </c>
      <c r="R90" s="511">
        <f t="shared" ref="R90:S90" si="128">+R84+R87+R89</f>
        <v>18</v>
      </c>
      <c r="S90" s="514">
        <f t="shared" si="128"/>
        <v>5530846</v>
      </c>
      <c r="T90" s="511">
        <f t="shared" ref="T90" si="129">+T84+T87+T89</f>
        <v>2152639</v>
      </c>
      <c r="U90" s="513">
        <f t="shared" ref="U90" si="130">+U84+U87+U89</f>
        <v>2467948</v>
      </c>
      <c r="V90" s="514">
        <f t="shared" ref="V90" si="131">+V84+V87+V89</f>
        <v>-315309</v>
      </c>
      <c r="X90" s="486"/>
      <c r="Y90" s="486"/>
      <c r="Z90" s="486"/>
      <c r="AB90" s="226"/>
      <c r="AC90" s="226"/>
      <c r="AD90" s="226"/>
      <c r="AE90" s="226"/>
      <c r="AL90" s="486"/>
      <c r="AM90" s="486"/>
      <c r="AN90" s="486"/>
      <c r="AO90" s="486"/>
      <c r="BL90" s="226"/>
      <c r="BM90" s="226"/>
      <c r="BN90" s="226"/>
      <c r="BO90" s="226"/>
      <c r="BX90" s="226"/>
      <c r="BY90" s="226"/>
      <c r="BZ90" s="226"/>
      <c r="CA90" s="226"/>
    </row>
    <row r="91" spans="1:79" ht="12.75" thickBot="1">
      <c r="A91" s="520"/>
      <c r="B91" s="521"/>
      <c r="C91" s="522"/>
      <c r="D91" s="522"/>
      <c r="E91" s="522"/>
      <c r="F91" s="522"/>
      <c r="G91" s="522"/>
      <c r="H91" s="522"/>
      <c r="I91" s="769"/>
      <c r="J91" s="525"/>
      <c r="K91" s="522"/>
      <c r="L91" s="522"/>
      <c r="M91" s="522"/>
      <c r="N91" s="522"/>
      <c r="O91" s="522"/>
      <c r="P91" s="522"/>
      <c r="Q91" s="522"/>
      <c r="R91" s="522"/>
      <c r="S91" s="525"/>
      <c r="T91" s="522"/>
      <c r="U91" s="524"/>
      <c r="V91" s="525"/>
      <c r="X91" s="486"/>
      <c r="Y91" s="486"/>
      <c r="Z91" s="486"/>
      <c r="AB91" s="226"/>
      <c r="AC91" s="226"/>
      <c r="AD91" s="226"/>
      <c r="AE91" s="226"/>
      <c r="AL91" s="486"/>
      <c r="AM91" s="486"/>
      <c r="AN91" s="486"/>
      <c r="AO91" s="486"/>
      <c r="BL91" s="226"/>
      <c r="BM91" s="226"/>
      <c r="BN91" s="226"/>
      <c r="BO91" s="226"/>
      <c r="BX91" s="226"/>
      <c r="BY91" s="226"/>
      <c r="BZ91" s="226"/>
      <c r="CA91" s="226"/>
    </row>
    <row r="92" spans="1:79">
      <c r="A92" s="770">
        <f>+A88+1</f>
        <v>12</v>
      </c>
      <c r="B92" s="771" t="s">
        <v>780</v>
      </c>
      <c r="C92" s="508">
        <f>+SUMIF('13.mell_ÖNKfeladatok2019'!$B$5:$B$159,'14.mell_Önk kiegészítés2019'!$A22,'13.mell_ÖNKfeladatok2019'!P$5:P$159)</f>
        <v>2447</v>
      </c>
      <c r="D92" s="508">
        <f>+SUMIF('13.mell_ÖNKfeladatok2019'!$B$5:$B$159,'14.mell_Önk kiegészítés2019'!$A22,'13.mell_ÖNKfeladatok2019'!T$5:T$159)</f>
        <v>10</v>
      </c>
      <c r="E92" s="508">
        <f>+SUMIF('13.mell_ÖNKfeladatok2019'!$B$5:$B$159,'14.mell_Önk kiegészítés2019'!$A22,'13.mell_ÖNKfeladatok2019'!X$5:X$159)</f>
        <v>12475</v>
      </c>
      <c r="F92" s="508">
        <f>+SUMIF('13.mell_ÖNKfeladatok2019'!$B$5:$B$159,'14.mell_Önk kiegészítés2019'!$A22,'13.mell_ÖNKfeladatok2019'!AB$5:AB$159)</f>
        <v>0</v>
      </c>
      <c r="G92" s="508">
        <f>+SUMIF('13.mell_ÖNKfeladatok2019'!$B$5:$B$159,'14.mell_Önk kiegészítés2019'!$A22,'13.mell_ÖNKfeladatok2019'!AJ$5:AJ$159)</f>
        <v>0</v>
      </c>
      <c r="H92" s="508">
        <f>+SUMIF('13.mell_ÖNKfeladatok2019'!$B$5:$B$159,'14.mell_Önk kiegészítés2019'!$A22,'13.mell_ÖNKfeladatok2019'!AN$5:AN$159)</f>
        <v>0</v>
      </c>
      <c r="I92" s="508">
        <f>+SUMIF('13.mell_ÖNKfeladatok2019'!$B$5:$B$159,'14.mell_Önk kiegészítés2019'!$A22,'13.mell_ÖNKfeladatok2019'!AR$5:AR$159)</f>
        <v>0</v>
      </c>
      <c r="J92" s="533">
        <f>SUM(C92:I92)</f>
        <v>14932</v>
      </c>
      <c r="K92" s="491">
        <f>+SUMIF('13.mell_ÖNKfeladatok2019'!$B$167:$B$321,'14.mell_Önk kiegészítés2019'!$A22,'13.mell_ÖNKfeladatok2019'!P$167:P$321)</f>
        <v>166996</v>
      </c>
      <c r="L92" s="491">
        <f>+SUMIF('13.mell_ÖNKfeladatok2019'!$B$167:$B$321,'14.mell_Önk kiegészítés2019'!$A22,'13.mell_ÖNKfeladatok2019'!T$167:T$321)</f>
        <v>33352</v>
      </c>
      <c r="M92" s="491">
        <f>+SUMIF('13.mell_ÖNKfeladatok2019'!$B$167:$B$321,'14.mell_Önk kiegészítés2019'!$A22,'13.mell_ÖNKfeladatok2019'!X$167:X$321)</f>
        <v>32351</v>
      </c>
      <c r="N92" s="491">
        <f>+SUMIF('13.mell_ÖNKfeladatok2019'!$B$167:$B$321,'14.mell_Önk kiegészítés2019'!$A22,'13.mell_ÖNKfeladatok2019'!AB$167:AB$321)</f>
        <v>0</v>
      </c>
      <c r="O92" s="491">
        <f>+SUMIF('13.mell_ÖNKfeladatok2019'!$B$167:$B$321,'14.mell_Önk kiegészítés2019'!$A22,'13.mell_ÖNKfeladatok2019'!AF$167:AF$321)</f>
        <v>0</v>
      </c>
      <c r="P92" s="491">
        <f>+SUMIF('13.mell_ÖNKfeladatok2019'!$B$167:$B$321,'14.mell_Önk kiegészítés2019'!$A22,'13.mell_ÖNKfeladatok2019'!AN$167:AN$321)</f>
        <v>1908</v>
      </c>
      <c r="Q92" s="491">
        <f>+SUMIF('13.mell_ÖNKfeladatok2019'!$B$167:$B$321,'14.mell_Önk kiegészítés2019'!$A22,'13.mell_ÖNKfeladatok2019'!AR$167:AR$321)</f>
        <v>0</v>
      </c>
      <c r="R92" s="491">
        <f>+SUMIF('13.mell_ÖNKfeladatok2019'!$B$167:$B$321,'14.mell_Önk kiegészítés2019'!$A22,'13.mell_ÖNKfeladatok2019'!AV$167:AV$321)</f>
        <v>0</v>
      </c>
      <c r="S92" s="533">
        <f>SUM(K92:R92)</f>
        <v>234607</v>
      </c>
      <c r="T92" s="492">
        <f>S92-J92</f>
        <v>219675</v>
      </c>
      <c r="U92" s="1079">
        <f>+ROUND(SUMIF('10.mell_támogatások2019'!$B$6:$B$137,'14.mell_Önk kiegészítés2019'!$A22,'10.mell_támogatások2019'!E$6:E$137)/1000,0)+26396+191+1490</f>
        <v>178185</v>
      </c>
      <c r="V92" s="493">
        <f>+T92-U92</f>
        <v>41490</v>
      </c>
      <c r="AB92" s="226"/>
      <c r="AC92" s="226">
        <f>0+(25496+900)</f>
        <v>26396</v>
      </c>
      <c r="AD92" s="226"/>
      <c r="AE92" s="226">
        <f>((0+(95+19))+(22+4))+(33+5)+13</f>
        <v>191</v>
      </c>
      <c r="AH92" s="226">
        <f>((17267+1490)+0)+0-17267</f>
        <v>1490</v>
      </c>
      <c r="AL92" s="486"/>
      <c r="AM92" s="486"/>
      <c r="AN92" s="486"/>
      <c r="AO92" s="486"/>
      <c r="BL92" s="226"/>
      <c r="BM92" s="226"/>
      <c r="BN92" s="226"/>
      <c r="BO92" s="226"/>
      <c r="BX92" s="226"/>
      <c r="BY92" s="226"/>
      <c r="BZ92" s="226"/>
      <c r="CA92" s="226"/>
    </row>
    <row r="93" spans="1:79">
      <c r="A93" s="735">
        <f>+A92+1</f>
        <v>13</v>
      </c>
      <c r="B93" s="494" t="s">
        <v>781</v>
      </c>
      <c r="C93" s="499">
        <f>+SUMIF('13.mell_ÖNKfeladatok2019'!$B$5:$B$159,'14.mell_Önk kiegészítés2019'!$A23,'13.mell_ÖNKfeladatok2019'!P$5:P$159)</f>
        <v>2893</v>
      </c>
      <c r="D93" s="499">
        <f>+SUMIF('13.mell_ÖNKfeladatok2019'!$B$5:$B$159,'14.mell_Önk kiegészítés2019'!$A23,'13.mell_ÖNKfeladatok2019'!T$5:T$159)</f>
        <v>0</v>
      </c>
      <c r="E93" s="499">
        <f>+SUMIF('13.mell_ÖNKfeladatok2019'!$B$5:$B$159,'14.mell_Önk kiegészítés2019'!$A23,'13.mell_ÖNKfeladatok2019'!X$5:X$159)</f>
        <v>0</v>
      </c>
      <c r="F93" s="499">
        <f>+SUMIF('13.mell_ÖNKfeladatok2019'!$B$5:$B$159,'14.mell_Önk kiegészítés2019'!$A23,'13.mell_ÖNKfeladatok2019'!AB$5:AB$159)</f>
        <v>0</v>
      </c>
      <c r="G93" s="499">
        <f>+SUMIF('13.mell_ÖNKfeladatok2019'!$B$5:$B$159,'14.mell_Önk kiegészítés2019'!$A23,'13.mell_ÖNKfeladatok2019'!AJ$5:AJ$159)</f>
        <v>0</v>
      </c>
      <c r="H93" s="499">
        <f>+SUMIF('13.mell_ÖNKfeladatok2019'!$B$5:$B$159,'14.mell_Önk kiegészítés2019'!$A23,'13.mell_ÖNKfeladatok2019'!AN$5:AN$159)</f>
        <v>0</v>
      </c>
      <c r="I93" s="499">
        <f>+SUMIF('13.mell_ÖNKfeladatok2019'!$B$5:$B$159,'14.mell_Önk kiegészítés2019'!$A23,'13.mell_ÖNKfeladatok2019'!AR$5:AR$159)</f>
        <v>0</v>
      </c>
      <c r="J93" s="534">
        <f>SUM(C93:I93)</f>
        <v>2893</v>
      </c>
      <c r="K93" s="495">
        <f>+SUMIF('13.mell_ÖNKfeladatok2019'!$B$167:$B$321,'14.mell_Önk kiegészítés2019'!$A23,'13.mell_ÖNKfeladatok2019'!P$167:P$321)</f>
        <v>18037</v>
      </c>
      <c r="L93" s="495">
        <f>+SUMIF('13.mell_ÖNKfeladatok2019'!$B$167:$B$321,'14.mell_Önk kiegészítés2019'!$A23,'13.mell_ÖNKfeladatok2019'!T$167:T$321)</f>
        <v>3049</v>
      </c>
      <c r="M93" s="495">
        <f>+SUMIF('13.mell_ÖNKfeladatok2019'!$B$167:$B$321,'14.mell_Önk kiegészítés2019'!$A23,'13.mell_ÖNKfeladatok2019'!X$167:X$321)</f>
        <v>11282</v>
      </c>
      <c r="N93" s="495">
        <f>+SUMIF('13.mell_ÖNKfeladatok2019'!$B$167:$B$321,'14.mell_Önk kiegészítés2019'!$A23,'13.mell_ÖNKfeladatok2019'!AB$167:AB$321)</f>
        <v>0</v>
      </c>
      <c r="O93" s="495">
        <f>+SUMIF('13.mell_ÖNKfeladatok2019'!$B$167:$B$321,'14.mell_Önk kiegészítés2019'!$A23,'13.mell_ÖNKfeladatok2019'!AF$167:AF$321)</f>
        <v>0</v>
      </c>
      <c r="P93" s="495">
        <f>+SUMIF('13.mell_ÖNKfeladatok2019'!$B$167:$B$321,'14.mell_Önk kiegészítés2019'!$A23,'13.mell_ÖNKfeladatok2019'!AN$167:AN$321)</f>
        <v>0</v>
      </c>
      <c r="Q93" s="495">
        <f>+SUMIF('13.mell_ÖNKfeladatok2019'!$B$167:$B$321,'14.mell_Önk kiegészítés2019'!$A23,'13.mell_ÖNKfeladatok2019'!AR$167:AR$321)</f>
        <v>0</v>
      </c>
      <c r="R93" s="495">
        <f>+SUMIF('13.mell_ÖNKfeladatok2019'!$B$167:$B$321,'14.mell_Önk kiegészítés2019'!$A23,'13.mell_ÖNKfeladatok2019'!AV$167:AV$321)</f>
        <v>0</v>
      </c>
      <c r="S93" s="534">
        <f>SUM(K93:R93)</f>
        <v>32368</v>
      </c>
      <c r="T93" s="496">
        <f>S93-J93</f>
        <v>29475</v>
      </c>
      <c r="U93" s="1080">
        <f>+ROUND(SUMIF('10.mell_támogatások2019'!$B$6:$B$137,'14.mell_Önk kiegészítés2019'!$A23,'10.mell_támogatások2019'!E$6:E$137)/1000,0)</f>
        <v>0</v>
      </c>
      <c r="V93" s="497">
        <f>+T93-U93</f>
        <v>29475</v>
      </c>
      <c r="AB93" s="226"/>
      <c r="AC93" s="226"/>
      <c r="AD93" s="226"/>
      <c r="AE93" s="226"/>
      <c r="AL93" s="486"/>
      <c r="AM93" s="486"/>
      <c r="AN93" s="486"/>
      <c r="AO93" s="486"/>
      <c r="BL93" s="226"/>
      <c r="BM93" s="226"/>
      <c r="BN93" s="226"/>
      <c r="BO93" s="226"/>
      <c r="BX93" s="226"/>
      <c r="BY93" s="226"/>
      <c r="BZ93" s="226"/>
      <c r="CA93" s="226"/>
    </row>
    <row r="94" spans="1:79" ht="12.75" thickBot="1">
      <c r="A94" s="735">
        <f>+A93+1</f>
        <v>14</v>
      </c>
      <c r="B94" s="498" t="s">
        <v>766</v>
      </c>
      <c r="C94" s="499">
        <f>+SUMIF('13.mell_ÖNKfeladatok2019'!$B$5:$B$159,'14.mell_Önk kiegészítés2019'!$A24,'13.mell_ÖNKfeladatok2019'!P$5:P$159)</f>
        <v>0</v>
      </c>
      <c r="D94" s="499">
        <f>+SUMIF('13.mell_ÖNKfeladatok2019'!$B$5:$B$159,'14.mell_Önk kiegészítés2019'!$A24,'13.mell_ÖNKfeladatok2019'!T$5:T$159)</f>
        <v>0</v>
      </c>
      <c r="E94" s="499">
        <f>+SUMIF('13.mell_ÖNKfeladatok2019'!$B$5:$B$159,'14.mell_Önk kiegészítés2019'!$A24,'13.mell_ÖNKfeladatok2019'!X$5:X$159)</f>
        <v>6111</v>
      </c>
      <c r="F94" s="499">
        <f>+SUMIF('13.mell_ÖNKfeladatok2019'!$B$5:$B$159,'14.mell_Önk kiegészítés2019'!$A24,'13.mell_ÖNKfeladatok2019'!AB$5:AB$159)</f>
        <v>0</v>
      </c>
      <c r="G94" s="499">
        <f>+SUMIF('13.mell_ÖNKfeladatok2019'!$B$5:$B$159,'14.mell_Önk kiegészítés2019'!$A24,'13.mell_ÖNKfeladatok2019'!AJ$5:AJ$159)</f>
        <v>0</v>
      </c>
      <c r="H94" s="499">
        <f>+SUMIF('13.mell_ÖNKfeladatok2019'!$B$5:$B$159,'14.mell_Önk kiegészítés2019'!$A24,'13.mell_ÖNKfeladatok2019'!AN$5:AN$159)</f>
        <v>0</v>
      </c>
      <c r="I94" s="499">
        <f>+SUMIF('13.mell_ÖNKfeladatok2019'!$B$5:$B$159,'14.mell_Önk kiegészítés2019'!$A24,'13.mell_ÖNKfeladatok2019'!AR$5:AR$159)</f>
        <v>0</v>
      </c>
      <c r="J94" s="534">
        <f>SUM(C94:I94)</f>
        <v>6111</v>
      </c>
      <c r="K94" s="495">
        <f>+SUMIF('13.mell_ÖNKfeladatok2019'!$B$167:$B$321,'14.mell_Önk kiegészítés2019'!$A24,'13.mell_ÖNKfeladatok2019'!P$167:P$321)</f>
        <v>93852</v>
      </c>
      <c r="L94" s="495">
        <f>+SUMIF('13.mell_ÖNKfeladatok2019'!$B$167:$B$321,'14.mell_Önk kiegészítés2019'!$A24,'13.mell_ÖNKfeladatok2019'!T$167:T$321)</f>
        <v>20965</v>
      </c>
      <c r="M94" s="495">
        <f>+SUMIF('13.mell_ÖNKfeladatok2019'!$B$167:$B$321,'14.mell_Önk kiegészítés2019'!$A24,'13.mell_ÖNKfeladatok2019'!X$167:X$321)</f>
        <v>6386</v>
      </c>
      <c r="N94" s="495">
        <f>+SUMIF('13.mell_ÖNKfeladatok2019'!$B$167:$B$321,'14.mell_Önk kiegészítés2019'!$A24,'13.mell_ÖNKfeladatok2019'!AB$167:AB$321)</f>
        <v>0</v>
      </c>
      <c r="O94" s="495">
        <f>+SUMIF('13.mell_ÖNKfeladatok2019'!$B$167:$B$321,'14.mell_Önk kiegészítés2019'!$A24,'13.mell_ÖNKfeladatok2019'!AF$167:AF$321)</f>
        <v>1985</v>
      </c>
      <c r="P94" s="495">
        <f>+SUMIF('13.mell_ÖNKfeladatok2019'!$B$167:$B$321,'14.mell_Önk kiegészítés2019'!$A24,'13.mell_ÖNKfeladatok2019'!AN$167:AN$321)</f>
        <v>536</v>
      </c>
      <c r="Q94" s="495">
        <f>+SUMIF('13.mell_ÖNKfeladatok2019'!$B$167:$B$321,'14.mell_Önk kiegészítés2019'!$A24,'13.mell_ÖNKfeladatok2019'!AR$167:AR$321)</f>
        <v>0</v>
      </c>
      <c r="R94" s="495">
        <f>+SUMIF('13.mell_ÖNKfeladatok2019'!$B$167:$B$321,'14.mell_Önk kiegészítés2019'!$A24,'13.mell_ÖNKfeladatok2019'!AV$167:AV$321)</f>
        <v>0</v>
      </c>
      <c r="S94" s="534">
        <f>SUM(K94:R94)</f>
        <v>123724</v>
      </c>
      <c r="T94" s="496">
        <f>S94-J94</f>
        <v>117613</v>
      </c>
      <c r="U94" s="1080">
        <f>+ROUND(SUMIF('10.mell_támogatások2019'!$B$6:$B$137,'14.mell_Önk kiegészítés2019'!$A24,'10.mell_támogatások2019'!E$6:E$137)/1000,0)+53636</f>
        <v>53636</v>
      </c>
      <c r="V94" s="497">
        <f>+T94-U94</f>
        <v>63977</v>
      </c>
      <c r="AB94" s="226">
        <v>53636</v>
      </c>
      <c r="AC94" s="226"/>
      <c r="AD94" s="226"/>
      <c r="AE94" s="226"/>
      <c r="AL94" s="486"/>
      <c r="AM94" s="486"/>
      <c r="AN94" s="486"/>
      <c r="AO94" s="486"/>
      <c r="BL94" s="226"/>
      <c r="BM94" s="226"/>
      <c r="BN94" s="226"/>
      <c r="BO94" s="226"/>
      <c r="BX94" s="226"/>
      <c r="BY94" s="226"/>
      <c r="BZ94" s="226"/>
      <c r="CA94" s="226"/>
    </row>
    <row r="95" spans="1:79" ht="12.75" thickBot="1">
      <c r="A95" s="500" t="s">
        <v>599</v>
      </c>
      <c r="B95" s="501" t="s">
        <v>873</v>
      </c>
      <c r="C95" s="502">
        <f t="shared" ref="C95" si="132">SUM(C92:C94)</f>
        <v>5340</v>
      </c>
      <c r="D95" s="503">
        <f t="shared" ref="D95" si="133">SUM(D92:D94)</f>
        <v>10</v>
      </c>
      <c r="E95" s="503">
        <f t="shared" ref="E95" si="134">SUM(E92:E94)</f>
        <v>18586</v>
      </c>
      <c r="F95" s="503">
        <f t="shared" ref="F95" si="135">SUM(F92:F94)</f>
        <v>0</v>
      </c>
      <c r="G95" s="503">
        <f t="shared" ref="G95" si="136">SUM(G92:G94)</f>
        <v>0</v>
      </c>
      <c r="H95" s="503">
        <f t="shared" ref="H95" si="137">SUM(H92:H94)</f>
        <v>0</v>
      </c>
      <c r="I95" s="504">
        <f t="shared" ref="I95:J95" si="138">SUM(I92:I94)</f>
        <v>0</v>
      </c>
      <c r="J95" s="505">
        <f t="shared" si="138"/>
        <v>23936</v>
      </c>
      <c r="K95" s="502">
        <f t="shared" ref="K95" si="139">SUM(K92:K94)</f>
        <v>278885</v>
      </c>
      <c r="L95" s="502">
        <f t="shared" ref="L95" si="140">SUM(L92:L94)</f>
        <v>57366</v>
      </c>
      <c r="M95" s="502">
        <f t="shared" ref="M95" si="141">SUM(M92:M94)</f>
        <v>50019</v>
      </c>
      <c r="N95" s="502">
        <f t="shared" ref="N95" si="142">SUM(N92:N94)</f>
        <v>0</v>
      </c>
      <c r="O95" s="502">
        <f t="shared" ref="O95" si="143">SUM(O92:O94)</f>
        <v>1985</v>
      </c>
      <c r="P95" s="502">
        <f t="shared" ref="P95" si="144">SUM(P92:P94)</f>
        <v>2444</v>
      </c>
      <c r="Q95" s="502">
        <f t="shared" ref="Q95" si="145">SUM(Q92:Q94)</f>
        <v>0</v>
      </c>
      <c r="R95" s="502">
        <f t="shared" ref="R95:S95" si="146">SUM(R92:R94)</f>
        <v>0</v>
      </c>
      <c r="S95" s="505">
        <f t="shared" si="146"/>
        <v>390699</v>
      </c>
      <c r="T95" s="502">
        <f t="shared" ref="T95" si="147">SUM(T92:T94)</f>
        <v>366763</v>
      </c>
      <c r="U95" s="506">
        <f t="shared" ref="U95" si="148">SUM(U92:U94)</f>
        <v>231821</v>
      </c>
      <c r="V95" s="505">
        <f t="shared" ref="V95" si="149">SUM(V92:V94)</f>
        <v>134942</v>
      </c>
      <c r="X95" s="486"/>
      <c r="Y95" s="486"/>
      <c r="Z95" s="486"/>
      <c r="AB95" s="226"/>
      <c r="AC95" s="226"/>
      <c r="AD95" s="226"/>
      <c r="AE95" s="226"/>
      <c r="AL95" s="486"/>
      <c r="AM95" s="486"/>
      <c r="AN95" s="486"/>
      <c r="AO95" s="486"/>
      <c r="BL95" s="226"/>
      <c r="BM95" s="226"/>
      <c r="BN95" s="226"/>
      <c r="BO95" s="226"/>
      <c r="BX95" s="226"/>
      <c r="BY95" s="226"/>
      <c r="BZ95" s="226"/>
      <c r="CA95" s="226"/>
    </row>
    <row r="96" spans="1:79">
      <c r="A96" s="735">
        <f>+A94+1</f>
        <v>15</v>
      </c>
      <c r="B96" s="519" t="s">
        <v>417</v>
      </c>
      <c r="C96" s="491">
        <f>+SUMIF('13.mell_ÖNKfeladatok2019'!$B$5:$B$159,'14.mell_Önk kiegészítés2019'!$A26,'13.mell_ÖNKfeladatok2019'!P$5:P$159)</f>
        <v>0</v>
      </c>
      <c r="D96" s="491">
        <f>+SUMIF('13.mell_ÖNKfeladatok2019'!$B$5:$B$159,'14.mell_Önk kiegészítés2019'!$A26,'13.mell_ÖNKfeladatok2019'!T$5:T$159)</f>
        <v>0</v>
      </c>
      <c r="E96" s="491">
        <f>+SUMIF('13.mell_ÖNKfeladatok2019'!$B$5:$B$159,'14.mell_Önk kiegészítés2019'!$A26,'13.mell_ÖNKfeladatok2019'!X$5:X$159)</f>
        <v>26222</v>
      </c>
      <c r="F96" s="491">
        <f>+SUMIF('13.mell_ÖNKfeladatok2019'!$B$5:$B$159,'14.mell_Önk kiegészítés2019'!$A26,'13.mell_ÖNKfeladatok2019'!AB$5:AB$159)</f>
        <v>0</v>
      </c>
      <c r="G96" s="491">
        <f>+SUMIF('13.mell_ÖNKfeladatok2019'!$B$5:$B$159,'14.mell_Önk kiegészítés2019'!$A26,'13.mell_ÖNKfeladatok2019'!AJ$5:AJ$159)</f>
        <v>0</v>
      </c>
      <c r="H96" s="491">
        <f>+SUMIF('13.mell_ÖNKfeladatok2019'!$B$5:$B$159,'14.mell_Önk kiegészítés2019'!$A26,'13.mell_ÖNKfeladatok2019'!AN$5:AN$159)</f>
        <v>0</v>
      </c>
      <c r="I96" s="491">
        <f>+SUMIF('13.mell_ÖNKfeladatok2019'!$B$5:$B$159,'14.mell_Önk kiegészítés2019'!$A26,'13.mell_ÖNKfeladatok2019'!AR$5:AR$159)</f>
        <v>0</v>
      </c>
      <c r="J96" s="534">
        <f>SUM(C96:I96)</f>
        <v>26222</v>
      </c>
      <c r="K96" s="495">
        <f>+SUMIF('13.mell_ÖNKfeladatok2019'!$B$167:$B$321,'14.mell_Önk kiegészítés2019'!$A26,'13.mell_ÖNKfeladatok2019'!P$167:P$321)</f>
        <v>7432</v>
      </c>
      <c r="L96" s="495">
        <f>+SUMIF('13.mell_ÖNKfeladatok2019'!$B$167:$B$321,'14.mell_Önk kiegészítés2019'!$A26,'13.mell_ÖNKfeladatok2019'!T$167:T$321)</f>
        <v>1320</v>
      </c>
      <c r="M96" s="495">
        <f>+SUMIF('13.mell_ÖNKfeladatok2019'!$B$167:$B$321,'14.mell_Önk kiegészítés2019'!$A26,'13.mell_ÖNKfeladatok2019'!X$167:X$321)</f>
        <v>21116</v>
      </c>
      <c r="N96" s="495">
        <f>+SUMIF('13.mell_ÖNKfeladatok2019'!$B$167:$B$321,'14.mell_Önk kiegészítés2019'!$A26,'13.mell_ÖNKfeladatok2019'!AB$167:AB$321)</f>
        <v>0</v>
      </c>
      <c r="O96" s="495">
        <f>+SUMIF('13.mell_ÖNKfeladatok2019'!$B$167:$B$321,'14.mell_Önk kiegészítés2019'!$A26,'13.mell_ÖNKfeladatok2019'!AF$167:AF$321)</f>
        <v>0</v>
      </c>
      <c r="P96" s="495">
        <f>+SUMIF('13.mell_ÖNKfeladatok2019'!$B$167:$B$321,'14.mell_Önk kiegészítés2019'!$A26,'13.mell_ÖNKfeladatok2019'!AN$167:AN$321)</f>
        <v>4</v>
      </c>
      <c r="Q96" s="495">
        <f>+SUMIF('13.mell_ÖNKfeladatok2019'!$B$167:$B$321,'14.mell_Önk kiegészítés2019'!$A26,'13.mell_ÖNKfeladatok2019'!AR$167:AR$321)</f>
        <v>0</v>
      </c>
      <c r="R96" s="495">
        <f>+SUMIF('13.mell_ÖNKfeladatok2019'!$B$167:$B$321,'14.mell_Önk kiegészítés2019'!$A26,'13.mell_ÖNKfeladatok2019'!AV$167:AV$321)</f>
        <v>0</v>
      </c>
      <c r="S96" s="534">
        <f>SUM(K96:R96)</f>
        <v>29872</v>
      </c>
      <c r="T96" s="496">
        <f>S96-J96</f>
        <v>3650</v>
      </c>
      <c r="U96" s="1080">
        <f>+ROUND(SUMIF('10.mell_támogatások2019'!$B$6:$B$137,'14.mell_Önk kiegészítés2019'!$A26,'10.mell_támogatások2019'!E$6:E$137)/1000,0)</f>
        <v>0</v>
      </c>
      <c r="V96" s="497">
        <f>+T96-U96</f>
        <v>3650</v>
      </c>
      <c r="AB96" s="226"/>
      <c r="AC96" s="226"/>
      <c r="AD96" s="226"/>
      <c r="AE96" s="226"/>
      <c r="AL96" s="486"/>
      <c r="AM96" s="486"/>
      <c r="AN96" s="486"/>
      <c r="AO96" s="486"/>
      <c r="BL96" s="226"/>
      <c r="BM96" s="226"/>
      <c r="BN96" s="226"/>
      <c r="BO96" s="226"/>
      <c r="BX96" s="226"/>
      <c r="BY96" s="226"/>
      <c r="BZ96" s="226"/>
      <c r="CA96" s="226"/>
    </row>
    <row r="97" spans="1:79">
      <c r="A97" s="735">
        <f>+A96+1</f>
        <v>16</v>
      </c>
      <c r="B97" s="498" t="s">
        <v>656</v>
      </c>
      <c r="C97" s="499">
        <f>+SUMIF('13.mell_ÖNKfeladatok2019'!$B$5:$B$159,'14.mell_Önk kiegészítés2019'!$A27,'13.mell_ÖNKfeladatok2019'!P$5:P$159)</f>
        <v>0</v>
      </c>
      <c r="D97" s="499">
        <f>+SUMIF('13.mell_ÖNKfeladatok2019'!$B$5:$B$159,'14.mell_Önk kiegészítés2019'!$A27,'13.mell_ÖNKfeladatok2019'!T$5:T$159)</f>
        <v>0</v>
      </c>
      <c r="E97" s="499">
        <f>+SUMIF('13.mell_ÖNKfeladatok2019'!$B$5:$B$159,'14.mell_Önk kiegészítés2019'!$A27,'13.mell_ÖNKfeladatok2019'!X$5:X$159)</f>
        <v>0</v>
      </c>
      <c r="F97" s="499">
        <f>+SUMIF('13.mell_ÖNKfeladatok2019'!$B$5:$B$159,'14.mell_Önk kiegészítés2019'!$A27,'13.mell_ÖNKfeladatok2019'!AB$5:AB$159)</f>
        <v>0</v>
      </c>
      <c r="G97" s="499">
        <f>+SUMIF('13.mell_ÖNKfeladatok2019'!$B$5:$B$159,'14.mell_Önk kiegészítés2019'!$A27,'13.mell_ÖNKfeladatok2019'!AJ$5:AJ$159)</f>
        <v>0</v>
      </c>
      <c r="H97" s="499">
        <f>+SUMIF('13.mell_ÖNKfeladatok2019'!$B$5:$B$159,'14.mell_Önk kiegészítés2019'!$A27,'13.mell_ÖNKfeladatok2019'!AN$5:AN$159)</f>
        <v>0</v>
      </c>
      <c r="I97" s="499">
        <f>+SUMIF('13.mell_ÖNKfeladatok2019'!$B$5:$B$159,'14.mell_Önk kiegészítés2019'!$A27,'13.mell_ÖNKfeladatok2019'!AR$5:AR$159)</f>
        <v>0</v>
      </c>
      <c r="J97" s="535">
        <f>SUM(C97:I97)</f>
        <v>0</v>
      </c>
      <c r="K97" s="495">
        <f>+SUMIF('13.mell_ÖNKfeladatok2019'!$B$167:$B$321,'14.mell_Önk kiegészítés2019'!$A27,'13.mell_ÖNKfeladatok2019'!P$167:P$321)</f>
        <v>0</v>
      </c>
      <c r="L97" s="495">
        <f>+SUMIF('13.mell_ÖNKfeladatok2019'!$B$167:$B$321,'14.mell_Önk kiegészítés2019'!$A27,'13.mell_ÖNKfeladatok2019'!T$167:T$321)</f>
        <v>0</v>
      </c>
      <c r="M97" s="495">
        <f>+SUMIF('13.mell_ÖNKfeladatok2019'!$B$167:$B$321,'14.mell_Önk kiegészítés2019'!$A27,'13.mell_ÖNKfeladatok2019'!X$167:X$321)</f>
        <v>0</v>
      </c>
      <c r="N97" s="495">
        <f>+SUMIF('13.mell_ÖNKfeladatok2019'!$B$167:$B$321,'14.mell_Önk kiegészítés2019'!$A27,'13.mell_ÖNKfeladatok2019'!AB$167:AB$321)</f>
        <v>0</v>
      </c>
      <c r="O97" s="495">
        <f>+SUMIF('13.mell_ÖNKfeladatok2019'!$B$167:$B$321,'14.mell_Önk kiegészítés2019'!$A27,'13.mell_ÖNKfeladatok2019'!AF$167:AF$321)</f>
        <v>0</v>
      </c>
      <c r="P97" s="495">
        <f>+SUMIF('13.mell_ÖNKfeladatok2019'!$B$167:$B$321,'14.mell_Önk kiegészítés2019'!$A27,'13.mell_ÖNKfeladatok2019'!AN$167:AN$321)</f>
        <v>0</v>
      </c>
      <c r="Q97" s="495">
        <f>+SUMIF('13.mell_ÖNKfeladatok2019'!$B$167:$B$321,'14.mell_Önk kiegészítés2019'!$A27,'13.mell_ÖNKfeladatok2019'!AR$167:AR$321)</f>
        <v>0</v>
      </c>
      <c r="R97" s="495">
        <f>+SUMIF('13.mell_ÖNKfeladatok2019'!$B$167:$B$321,'14.mell_Önk kiegészítés2019'!$A27,'13.mell_ÖNKfeladatok2019'!AV$167:AV$321)</f>
        <v>0</v>
      </c>
      <c r="S97" s="534">
        <f>SUM(K97:R97)</f>
        <v>0</v>
      </c>
      <c r="T97" s="496">
        <f>S97-J97</f>
        <v>0</v>
      </c>
      <c r="U97" s="1080">
        <f>+ROUND(SUMIF('10.mell_támogatások2019'!$B$6:$B$137,'14.mell_Önk kiegészítés2019'!$A27,'10.mell_támogatások2019'!E$6:E$137)/1000,0)</f>
        <v>0</v>
      </c>
      <c r="V97" s="497">
        <f>+T97-U97</f>
        <v>0</v>
      </c>
      <c r="AB97" s="226"/>
      <c r="AC97" s="226"/>
      <c r="AD97" s="226"/>
      <c r="AE97" s="226"/>
      <c r="AL97" s="486"/>
      <c r="AM97" s="486"/>
      <c r="AN97" s="486"/>
      <c r="AO97" s="486"/>
      <c r="BL97" s="226"/>
      <c r="BM97" s="226"/>
      <c r="BN97" s="226"/>
      <c r="BO97" s="226"/>
      <c r="BX97" s="226"/>
      <c r="BY97" s="226"/>
      <c r="BZ97" s="226"/>
      <c r="CA97" s="226"/>
    </row>
    <row r="98" spans="1:79" ht="12.75" thickBot="1">
      <c r="A98" s="735">
        <f>+A97+1</f>
        <v>17</v>
      </c>
      <c r="B98" s="498" t="s">
        <v>898</v>
      </c>
      <c r="C98" s="499">
        <f>+SUMIF('13.mell_ÖNKfeladatok2019'!$B$5:$B$159,'14.mell_Önk kiegészítés2019'!$A28,'13.mell_ÖNKfeladatok2019'!P$5:P$159)</f>
        <v>0</v>
      </c>
      <c r="D98" s="499">
        <f>+SUMIF('13.mell_ÖNKfeladatok2019'!$B$5:$B$159,'14.mell_Önk kiegészítés2019'!$A28,'13.mell_ÖNKfeladatok2019'!T$5:T$159)</f>
        <v>0</v>
      </c>
      <c r="E98" s="499">
        <f>+SUMIF('13.mell_ÖNKfeladatok2019'!$B$5:$B$159,'14.mell_Önk kiegészítés2019'!$A28,'13.mell_ÖNKfeladatok2019'!X$5:X$159)</f>
        <v>0</v>
      </c>
      <c r="F98" s="499">
        <f>+SUMIF('13.mell_ÖNKfeladatok2019'!$B$5:$B$159,'14.mell_Önk kiegészítés2019'!$A28,'13.mell_ÖNKfeladatok2019'!AB$5:AB$159)</f>
        <v>0</v>
      </c>
      <c r="G98" s="499">
        <f>+SUMIF('13.mell_ÖNKfeladatok2019'!$B$5:$B$159,'14.mell_Önk kiegészítés2019'!$A28,'13.mell_ÖNKfeladatok2019'!AJ$5:AJ$159)</f>
        <v>0</v>
      </c>
      <c r="H98" s="499">
        <f>+SUMIF('13.mell_ÖNKfeladatok2019'!$B$5:$B$159,'14.mell_Önk kiegészítés2019'!$A28,'13.mell_ÖNKfeladatok2019'!AN$5:AN$159)</f>
        <v>0</v>
      </c>
      <c r="I98" s="499">
        <f>+SUMIF('13.mell_ÖNKfeladatok2019'!$B$5:$B$159,'14.mell_Önk kiegészítés2019'!$A28,'13.mell_ÖNKfeladatok2019'!AR$5:AR$159)</f>
        <v>0</v>
      </c>
      <c r="J98" s="535">
        <f>SUM(C98:I98)</f>
        <v>0</v>
      </c>
      <c r="K98" s="495">
        <f>+SUMIF('13.mell_ÖNKfeladatok2019'!$B$167:$B$321,'14.mell_Önk kiegészítés2019'!$A28,'13.mell_ÖNKfeladatok2019'!P$167:P$321)</f>
        <v>0</v>
      </c>
      <c r="L98" s="495">
        <f>+SUMIF('13.mell_ÖNKfeladatok2019'!$B$167:$B$321,'14.mell_Önk kiegészítés2019'!$A28,'13.mell_ÖNKfeladatok2019'!T$167:T$321)</f>
        <v>0</v>
      </c>
      <c r="M98" s="495">
        <f>+SUMIF('13.mell_ÖNKfeladatok2019'!$B$167:$B$321,'14.mell_Önk kiegészítés2019'!$A28,'13.mell_ÖNKfeladatok2019'!X$167:X$321)</f>
        <v>0</v>
      </c>
      <c r="N98" s="495">
        <f>+SUMIF('13.mell_ÖNKfeladatok2019'!$B$167:$B$321,'14.mell_Önk kiegészítés2019'!$A28,'13.mell_ÖNKfeladatok2019'!AB$167:AB$321)</f>
        <v>0</v>
      </c>
      <c r="O98" s="495">
        <f>+SUMIF('13.mell_ÖNKfeladatok2019'!$B$167:$B$321,'14.mell_Önk kiegészítés2019'!$A28,'13.mell_ÖNKfeladatok2019'!AF$167:AF$321)</f>
        <v>0</v>
      </c>
      <c r="P98" s="495">
        <f>+SUMIF('13.mell_ÖNKfeladatok2019'!$B$167:$B$321,'14.mell_Önk kiegészítés2019'!$A28,'13.mell_ÖNKfeladatok2019'!AN$167:AN$321)</f>
        <v>0</v>
      </c>
      <c r="Q98" s="495">
        <f>+SUMIF('13.mell_ÖNKfeladatok2019'!$B$167:$B$321,'14.mell_Önk kiegészítés2019'!$A28,'13.mell_ÖNKfeladatok2019'!AR$167:AR$321)</f>
        <v>0</v>
      </c>
      <c r="R98" s="495">
        <f>+SUMIF('13.mell_ÖNKfeladatok2019'!$B$167:$B$321,'14.mell_Önk kiegészítés2019'!$A28,'13.mell_ÖNKfeladatok2019'!AV$167:AV$321)</f>
        <v>0</v>
      </c>
      <c r="S98" s="534">
        <f>SUM(K98:R98)</f>
        <v>0</v>
      </c>
      <c r="T98" s="496">
        <f>S98-J98</f>
        <v>0</v>
      </c>
      <c r="U98" s="1080">
        <f>+ROUND(SUMIF('10.mell_támogatások2019'!$B$6:$B$137,'14.mell_Önk kiegészítés2019'!$A28,'10.mell_támogatások2019'!E$6:E$137)/1000,0)</f>
        <v>0</v>
      </c>
      <c r="V98" s="497">
        <f>+T98-U98</f>
        <v>0</v>
      </c>
      <c r="AB98" s="226"/>
      <c r="AC98" s="226"/>
      <c r="AD98" s="226"/>
      <c r="AE98" s="226"/>
      <c r="AL98" s="486"/>
      <c r="AM98" s="486"/>
      <c r="AN98" s="486"/>
      <c r="AO98" s="486"/>
      <c r="BL98" s="226"/>
      <c r="BM98" s="226"/>
      <c r="BN98" s="226"/>
      <c r="BO98" s="226"/>
      <c r="BX98" s="226"/>
      <c r="BY98" s="226"/>
      <c r="BZ98" s="226"/>
      <c r="CA98" s="226"/>
    </row>
    <row r="99" spans="1:79" ht="12.75" thickBot="1">
      <c r="A99" s="500" t="s">
        <v>641</v>
      </c>
      <c r="B99" s="501" t="s">
        <v>874</v>
      </c>
      <c r="C99" s="502">
        <f>SUM(C96:C98)</f>
        <v>0</v>
      </c>
      <c r="D99" s="503">
        <f t="shared" ref="D99" si="150">SUM(D96:D98)</f>
        <v>0</v>
      </c>
      <c r="E99" s="503">
        <f t="shared" ref="E99" si="151">SUM(E96:E98)</f>
        <v>26222</v>
      </c>
      <c r="F99" s="503">
        <f t="shared" ref="F99" si="152">SUM(F96:F98)</f>
        <v>0</v>
      </c>
      <c r="G99" s="503">
        <f t="shared" ref="G99" si="153">SUM(G96:G98)</f>
        <v>0</v>
      </c>
      <c r="H99" s="503">
        <f t="shared" ref="H99" si="154">SUM(H96:H98)</f>
        <v>0</v>
      </c>
      <c r="I99" s="506">
        <f t="shared" ref="I99:J99" si="155">SUM(I96:I98)</f>
        <v>0</v>
      </c>
      <c r="J99" s="505">
        <f t="shared" si="155"/>
        <v>26222</v>
      </c>
      <c r="K99" s="502">
        <f t="shared" ref="K99" si="156">SUM(K96:K98)</f>
        <v>7432</v>
      </c>
      <c r="L99" s="502">
        <f t="shared" ref="L99" si="157">SUM(L96:L98)</f>
        <v>1320</v>
      </c>
      <c r="M99" s="502">
        <f t="shared" ref="M99" si="158">SUM(M96:M98)</f>
        <v>21116</v>
      </c>
      <c r="N99" s="502">
        <f t="shared" ref="N99" si="159">SUM(N96:N98)</f>
        <v>0</v>
      </c>
      <c r="O99" s="502">
        <f t="shared" ref="O99" si="160">SUM(O96:O98)</f>
        <v>0</v>
      </c>
      <c r="P99" s="502">
        <f t="shared" ref="P99" si="161">SUM(P96:P98)</f>
        <v>4</v>
      </c>
      <c r="Q99" s="502">
        <f t="shared" ref="Q99" si="162">SUM(Q96:Q98)</f>
        <v>0</v>
      </c>
      <c r="R99" s="502">
        <f t="shared" ref="R99:S99" si="163">SUM(R96:R98)</f>
        <v>0</v>
      </c>
      <c r="S99" s="505">
        <f t="shared" si="163"/>
        <v>29872</v>
      </c>
      <c r="T99" s="502">
        <f t="shared" ref="T99" si="164">SUM(T96:T98)</f>
        <v>3650</v>
      </c>
      <c r="U99" s="506">
        <f t="shared" ref="U99" si="165">SUM(U96:U98)</f>
        <v>0</v>
      </c>
      <c r="V99" s="505">
        <f t="shared" ref="V99" si="166">SUM(V96:V98)</f>
        <v>3650</v>
      </c>
      <c r="X99" s="486"/>
      <c r="Y99" s="486"/>
      <c r="Z99" s="486"/>
      <c r="AB99" s="226"/>
      <c r="AC99" s="226"/>
      <c r="AD99" s="226"/>
      <c r="AE99" s="226"/>
      <c r="AL99" s="486"/>
      <c r="AM99" s="486"/>
      <c r="AN99" s="486"/>
      <c r="AO99" s="486"/>
      <c r="BL99" s="226"/>
      <c r="BM99" s="226"/>
      <c r="BN99" s="226"/>
      <c r="BO99" s="226"/>
      <c r="BX99" s="226"/>
      <c r="BY99" s="226"/>
      <c r="BZ99" s="226"/>
      <c r="CA99" s="226"/>
    </row>
    <row r="100" spans="1:79" ht="12.75" thickBot="1">
      <c r="A100" s="735">
        <f>+A98+1</f>
        <v>18</v>
      </c>
      <c r="B100" s="507" t="s">
        <v>875</v>
      </c>
      <c r="C100" s="508">
        <f>+SUMIF('13.mell_ÖNKfeladatok2019'!$B$5:$B$159,'14.mell_Önk kiegészítés2019'!$A30,'13.mell_ÖNKfeladatok2019'!P$5:P$159)</f>
        <v>6522</v>
      </c>
      <c r="D100" s="508">
        <f>+SUMIF('13.mell_ÖNKfeladatok2019'!$B$5:$B$159,'14.mell_Önk kiegészítés2019'!$A30,'13.mell_ÖNKfeladatok2019'!T$5:T$159)</f>
        <v>0</v>
      </c>
      <c r="E100" s="508">
        <f>+SUMIF('13.mell_ÖNKfeladatok2019'!$B$5:$B$159,'14.mell_Önk kiegészítés2019'!$A30,'13.mell_ÖNKfeladatok2019'!X$5:X$159)</f>
        <v>0</v>
      </c>
      <c r="F100" s="508">
        <f>+SUMIF('13.mell_ÖNKfeladatok2019'!$B$5:$B$159,'14.mell_Önk kiegészítés2019'!$A30,'13.mell_ÖNKfeladatok2019'!AB$5:AB$159)</f>
        <v>0</v>
      </c>
      <c r="G100" s="508">
        <f>+SUMIF('13.mell_ÖNKfeladatok2019'!$B$5:$B$159,'14.mell_Önk kiegészítés2019'!$A30,'13.mell_ÖNKfeladatok2019'!AJ$5:AJ$159)</f>
        <v>0</v>
      </c>
      <c r="H100" s="508">
        <f>+SUMIF('13.mell_ÖNKfeladatok2019'!$B$5:$B$159,'14.mell_Önk kiegészítés2019'!$A30,'13.mell_ÖNKfeladatok2019'!AN$5:AN$159)</f>
        <v>0</v>
      </c>
      <c r="I100" s="508">
        <f>+SUMIF('13.mell_ÖNKfeladatok2019'!$B$5:$B$159,'14.mell_Önk kiegészítés2019'!$A30,'13.mell_ÖNKfeladatok2019'!AR$5:AR$159)</f>
        <v>0</v>
      </c>
      <c r="J100" s="536">
        <f>SUM(C100:I100)</f>
        <v>6522</v>
      </c>
      <c r="K100" s="495">
        <f>+SUMIF('13.mell_ÖNKfeladatok2019'!$B$167:$B$321,'14.mell_Önk kiegészítés2019'!$A30,'13.mell_ÖNKfeladatok2019'!P$167:P$321)</f>
        <v>5777</v>
      </c>
      <c r="L100" s="495">
        <f>+SUMIF('13.mell_ÖNKfeladatok2019'!$B$167:$B$321,'14.mell_Önk kiegészítés2019'!$A30,'13.mell_ÖNKfeladatok2019'!T$167:T$321)</f>
        <v>1161</v>
      </c>
      <c r="M100" s="495">
        <f>+SUMIF('13.mell_ÖNKfeladatok2019'!$B$167:$B$321,'14.mell_Önk kiegészítés2019'!$A30,'13.mell_ÖNKfeladatok2019'!X$167:X$321)</f>
        <v>274</v>
      </c>
      <c r="N100" s="495">
        <f>+SUMIF('13.mell_ÖNKfeladatok2019'!$B$167:$B$321,'14.mell_Önk kiegészítés2019'!$A30,'13.mell_ÖNKfeladatok2019'!AB$167:AB$321)</f>
        <v>0</v>
      </c>
      <c r="O100" s="495">
        <f>+SUMIF('13.mell_ÖNKfeladatok2019'!$B$167:$B$321,'14.mell_Önk kiegészítés2019'!$A30,'13.mell_ÖNKfeladatok2019'!AF$167:AF$321)</f>
        <v>0</v>
      </c>
      <c r="P100" s="495">
        <f>+SUMIF('13.mell_ÖNKfeladatok2019'!$B$167:$B$321,'14.mell_Önk kiegészítés2019'!$A30,'13.mell_ÖNKfeladatok2019'!AN$167:AN$321)</f>
        <v>0</v>
      </c>
      <c r="Q100" s="495">
        <f>+SUMIF('13.mell_ÖNKfeladatok2019'!$B$167:$B$321,'14.mell_Önk kiegészítés2019'!$A30,'13.mell_ÖNKfeladatok2019'!AR$167:AR$321)</f>
        <v>0</v>
      </c>
      <c r="R100" s="495">
        <f>+SUMIF('13.mell_ÖNKfeladatok2019'!$B$167:$B$321,'14.mell_Önk kiegészítés2019'!$A30,'13.mell_ÖNKfeladatok2019'!AV$167:AV$321)</f>
        <v>0</v>
      </c>
      <c r="S100" s="534">
        <f>SUM(K100:R100)</f>
        <v>7212</v>
      </c>
      <c r="T100" s="496">
        <f>S100-J100</f>
        <v>690</v>
      </c>
      <c r="U100" s="1080">
        <f>+ROUND(SUMIF('10.mell_támogatások2019'!$B$6:$B$137,'14.mell_Önk kiegészítés2019'!$A30,'10.mell_támogatások2019'!E$6:E$137)/1000,0)</f>
        <v>0</v>
      </c>
      <c r="V100" s="497">
        <f>+T100-U100</f>
        <v>690</v>
      </c>
      <c r="AB100" s="226"/>
      <c r="AC100" s="226"/>
      <c r="AD100" s="226"/>
      <c r="AE100" s="226"/>
      <c r="AL100" s="486"/>
      <c r="AM100" s="486"/>
      <c r="AN100" s="486"/>
      <c r="AO100" s="486"/>
      <c r="BL100" s="226"/>
      <c r="BM100" s="226"/>
      <c r="BN100" s="226"/>
      <c r="BO100" s="226"/>
      <c r="BX100" s="226"/>
      <c r="BY100" s="226"/>
      <c r="BZ100" s="226"/>
      <c r="CA100" s="226"/>
    </row>
    <row r="101" spans="1:79" ht="12.75" thickBot="1">
      <c r="A101" s="500" t="s">
        <v>753</v>
      </c>
      <c r="B101" s="501" t="s">
        <v>875</v>
      </c>
      <c r="C101" s="502">
        <f>SUM(C100)</f>
        <v>6522</v>
      </c>
      <c r="D101" s="503">
        <f t="shared" ref="D101" si="167">SUM(D100)</f>
        <v>0</v>
      </c>
      <c r="E101" s="503">
        <f t="shared" ref="E101" si="168">SUM(E100)</f>
        <v>0</v>
      </c>
      <c r="F101" s="503">
        <f t="shared" ref="F101" si="169">SUM(F100)</f>
        <v>0</v>
      </c>
      <c r="G101" s="503">
        <f t="shared" ref="G101" si="170">SUM(G100)</f>
        <v>0</v>
      </c>
      <c r="H101" s="503">
        <f t="shared" ref="H101" si="171">SUM(H100)</f>
        <v>0</v>
      </c>
      <c r="I101" s="506">
        <f t="shared" ref="I101:J101" si="172">SUM(I100)</f>
        <v>0</v>
      </c>
      <c r="J101" s="505">
        <f t="shared" si="172"/>
        <v>6522</v>
      </c>
      <c r="K101" s="502">
        <f t="shared" ref="K101" si="173">SUM(K100)</f>
        <v>5777</v>
      </c>
      <c r="L101" s="502">
        <f t="shared" ref="L101" si="174">SUM(L100)</f>
        <v>1161</v>
      </c>
      <c r="M101" s="502">
        <f t="shared" ref="M101" si="175">SUM(M100)</f>
        <v>274</v>
      </c>
      <c r="N101" s="502">
        <f t="shared" ref="N101" si="176">SUM(N100)</f>
        <v>0</v>
      </c>
      <c r="O101" s="502">
        <f t="shared" ref="O101" si="177">SUM(O100)</f>
        <v>0</v>
      </c>
      <c r="P101" s="502">
        <f t="shared" ref="P101" si="178">SUM(P100)</f>
        <v>0</v>
      </c>
      <c r="Q101" s="502">
        <f t="shared" ref="Q101" si="179">SUM(Q100)</f>
        <v>0</v>
      </c>
      <c r="R101" s="502">
        <f t="shared" ref="R101:S101" si="180">SUM(R100)</f>
        <v>0</v>
      </c>
      <c r="S101" s="505">
        <f t="shared" si="180"/>
        <v>7212</v>
      </c>
      <c r="T101" s="502">
        <f t="shared" ref="T101" si="181">SUM(T100)</f>
        <v>690</v>
      </c>
      <c r="U101" s="506">
        <f t="shared" ref="U101" si="182">SUM(U100)</f>
        <v>0</v>
      </c>
      <c r="V101" s="505">
        <f t="shared" ref="V101" si="183">SUM(V100)</f>
        <v>690</v>
      </c>
      <c r="X101" s="486"/>
      <c r="Y101" s="486"/>
      <c r="Z101" s="486"/>
      <c r="AB101" s="226"/>
      <c r="AC101" s="226"/>
      <c r="AD101" s="226"/>
      <c r="AE101" s="226"/>
      <c r="AL101" s="486"/>
      <c r="AM101" s="486"/>
      <c r="AN101" s="486"/>
      <c r="AO101" s="486"/>
      <c r="BL101" s="226"/>
      <c r="BM101" s="226"/>
      <c r="BN101" s="226"/>
      <c r="BO101" s="226"/>
      <c r="BX101" s="226"/>
      <c r="BY101" s="226"/>
      <c r="BZ101" s="226"/>
      <c r="CA101" s="226"/>
    </row>
    <row r="102" spans="1:79" ht="12.75" thickBot="1">
      <c r="A102" s="509" t="s">
        <v>22</v>
      </c>
      <c r="B102" s="510" t="s">
        <v>876</v>
      </c>
      <c r="C102" s="511">
        <f>+C95+C99+C101</f>
        <v>11862</v>
      </c>
      <c r="D102" s="512">
        <f t="shared" ref="D102" si="184">+D95+D99+D101</f>
        <v>10</v>
      </c>
      <c r="E102" s="512">
        <f t="shared" ref="E102" si="185">+E95+E99+E101</f>
        <v>44808</v>
      </c>
      <c r="F102" s="512">
        <f t="shared" ref="F102" si="186">+F95+F99+F101</f>
        <v>0</v>
      </c>
      <c r="G102" s="512">
        <f t="shared" ref="G102" si="187">+G95+G99+G101</f>
        <v>0</v>
      </c>
      <c r="H102" s="512">
        <f t="shared" ref="H102" si="188">+H95+H99+H101</f>
        <v>0</v>
      </c>
      <c r="I102" s="513">
        <f t="shared" ref="I102:J102" si="189">+I95+I99+I101</f>
        <v>0</v>
      </c>
      <c r="J102" s="514">
        <f t="shared" si="189"/>
        <v>56680</v>
      </c>
      <c r="K102" s="511">
        <f t="shared" ref="K102" si="190">+K95+K99+K101</f>
        <v>292094</v>
      </c>
      <c r="L102" s="511">
        <f t="shared" ref="L102" si="191">+L95+L99+L101</f>
        <v>59847</v>
      </c>
      <c r="M102" s="511">
        <f t="shared" ref="M102" si="192">+M95+M99+M101</f>
        <v>71409</v>
      </c>
      <c r="N102" s="511">
        <f t="shared" ref="N102" si="193">+N95+N99+N101</f>
        <v>0</v>
      </c>
      <c r="O102" s="511">
        <f t="shared" ref="O102" si="194">+O95+O99+O101</f>
        <v>1985</v>
      </c>
      <c r="P102" s="511">
        <f t="shared" ref="P102" si="195">+P95+P99+P101</f>
        <v>2448</v>
      </c>
      <c r="Q102" s="511">
        <f t="shared" ref="Q102" si="196">+Q95+Q99+Q101</f>
        <v>0</v>
      </c>
      <c r="R102" s="511">
        <f t="shared" ref="R102:S102" si="197">+R95+R99+R101</f>
        <v>0</v>
      </c>
      <c r="S102" s="514">
        <f t="shared" si="197"/>
        <v>427783</v>
      </c>
      <c r="T102" s="511">
        <f t="shared" ref="T102" si="198">+T95+T99+T101</f>
        <v>371103</v>
      </c>
      <c r="U102" s="513">
        <f t="shared" ref="U102" si="199">+U95+U99+U101</f>
        <v>231821</v>
      </c>
      <c r="V102" s="514">
        <f t="shared" ref="V102" si="200">+V95+V99+V101</f>
        <v>139282</v>
      </c>
      <c r="X102" s="486"/>
      <c r="Y102" s="486"/>
      <c r="Z102" s="486"/>
      <c r="AB102" s="226"/>
      <c r="AC102" s="226"/>
      <c r="AD102" s="226"/>
      <c r="AE102" s="226"/>
      <c r="AL102" s="486"/>
      <c r="AM102" s="486"/>
      <c r="AN102" s="486"/>
      <c r="AO102" s="486"/>
      <c r="BL102" s="226"/>
      <c r="BM102" s="226"/>
      <c r="BN102" s="226"/>
      <c r="BO102" s="226"/>
      <c r="BX102" s="226"/>
      <c r="BY102" s="226"/>
      <c r="BZ102" s="226"/>
      <c r="CA102" s="226"/>
    </row>
    <row r="103" spans="1:79" ht="12.75" thickBot="1">
      <c r="A103" s="520"/>
      <c r="B103" s="521"/>
      <c r="C103" s="522"/>
      <c r="D103" s="522"/>
      <c r="E103" s="522"/>
      <c r="F103" s="522"/>
      <c r="G103" s="522"/>
      <c r="H103" s="522"/>
      <c r="I103" s="769"/>
      <c r="J103" s="525"/>
      <c r="K103" s="522"/>
      <c r="L103" s="522"/>
      <c r="M103" s="522"/>
      <c r="N103" s="522"/>
      <c r="O103" s="522"/>
      <c r="P103" s="522"/>
      <c r="Q103" s="522"/>
      <c r="R103" s="522"/>
      <c r="S103" s="525"/>
      <c r="T103" s="522"/>
      <c r="U103" s="524"/>
      <c r="V103" s="525"/>
      <c r="X103" s="486"/>
      <c r="Y103" s="486"/>
      <c r="Z103" s="486"/>
      <c r="AB103" s="226"/>
      <c r="AC103" s="226"/>
      <c r="AD103" s="226"/>
      <c r="AE103" s="226"/>
      <c r="AL103" s="486"/>
      <c r="AM103" s="486"/>
      <c r="AN103" s="486"/>
      <c r="AO103" s="486"/>
      <c r="BL103" s="226"/>
      <c r="BM103" s="226"/>
      <c r="BN103" s="226"/>
      <c r="BO103" s="226"/>
      <c r="BX103" s="226"/>
      <c r="BY103" s="226"/>
      <c r="BZ103" s="226"/>
      <c r="CA103" s="226"/>
    </row>
    <row r="104" spans="1:79">
      <c r="A104" s="734">
        <f>+A100+1</f>
        <v>19</v>
      </c>
      <c r="B104" s="668" t="s">
        <v>1089</v>
      </c>
      <c r="C104" s="772">
        <f>+SUMIF('13.mell_ÖNKfeladatok2019'!$B$5:$B$159,'14.mell_Önk kiegészítés2019'!$A34,'13.mell_ÖNKfeladatok2019'!P$5:P$159)</f>
        <v>0</v>
      </c>
      <c r="D104" s="772">
        <f>+SUMIF('13.mell_ÖNKfeladatok2019'!$B$5:$B$159,'14.mell_Önk kiegészítés2019'!$A34,'13.mell_ÖNKfeladatok2019'!T$5:T$159)</f>
        <v>0</v>
      </c>
      <c r="E104" s="772">
        <f>+SUMIF('13.mell_ÖNKfeladatok2019'!$B$5:$B$159,'14.mell_Önk kiegészítés2019'!$A34,'13.mell_ÖNKfeladatok2019'!X$5:X$159)</f>
        <v>3478</v>
      </c>
      <c r="F104" s="772">
        <f>+SUMIF('13.mell_ÖNKfeladatok2019'!$B$5:$B$159,'14.mell_Önk kiegészítés2019'!$A34,'13.mell_ÖNKfeladatok2019'!AB$5:AB$159)</f>
        <v>0</v>
      </c>
      <c r="G104" s="772">
        <f>+SUMIF('13.mell_ÖNKfeladatok2019'!$B$5:$B$159,'14.mell_Önk kiegészítés2019'!$A34,'13.mell_ÖNKfeladatok2019'!AJ$5:AJ$159)</f>
        <v>0</v>
      </c>
      <c r="H104" s="772">
        <f>+SUMIF('13.mell_ÖNKfeladatok2019'!$B$5:$B$159,'14.mell_Önk kiegészítés2019'!$A34,'13.mell_ÖNKfeladatok2019'!AN$5:AN$159)</f>
        <v>0</v>
      </c>
      <c r="I104" s="772">
        <f>+SUMIF('13.mell_ÖNKfeladatok2019'!$B$5:$B$159,'14.mell_Önk kiegészítés2019'!$A34,'13.mell_ÖNKfeladatok2019'!AR$5:AR$159)</f>
        <v>0</v>
      </c>
      <c r="J104" s="669">
        <f>SUM(C104:I104)</f>
        <v>3478</v>
      </c>
      <c r="K104" s="772">
        <f>+SUMIF('13.mell_ÖNKfeladatok2019'!$B$167:$B$321,'14.mell_Önk kiegészítés2019'!$A34,'13.mell_ÖNKfeladatok2019'!P$167:P$321)</f>
        <v>211946</v>
      </c>
      <c r="L104" s="772">
        <f>+SUMIF('13.mell_ÖNKfeladatok2019'!$B$167:$B$321,'14.mell_Önk kiegészítés2019'!$A34,'13.mell_ÖNKfeladatok2019'!T$167:T$321)</f>
        <v>50739</v>
      </c>
      <c r="M104" s="772">
        <f>+SUMIF('13.mell_ÖNKfeladatok2019'!$B$167:$B$321,'14.mell_Önk kiegészítés2019'!$A34,'13.mell_ÖNKfeladatok2019'!X$167:X$321)</f>
        <v>28545</v>
      </c>
      <c r="N104" s="772">
        <f>+SUMIF('13.mell_ÖNKfeladatok2019'!$B$167:$B$321,'14.mell_Önk kiegészítés2019'!$A34,'13.mell_ÖNKfeladatok2019'!AB$167:AB$321)</f>
        <v>0</v>
      </c>
      <c r="O104" s="772">
        <f>+SUMIF('13.mell_ÖNKfeladatok2019'!$B$167:$B$321,'14.mell_Önk kiegészítés2019'!$A34,'13.mell_ÖNKfeladatok2019'!AF$167:AF$321)</f>
        <v>206</v>
      </c>
      <c r="P104" s="772">
        <f>+SUMIF('13.mell_ÖNKfeladatok2019'!$B$167:$B$321,'14.mell_Önk kiegészítés2019'!$A34,'13.mell_ÖNKfeladatok2019'!AN$167:AN$321)</f>
        <v>615</v>
      </c>
      <c r="Q104" s="772">
        <f>+SUMIF('13.mell_ÖNKfeladatok2019'!$B$167:$B$321,'14.mell_Önk kiegészítés2019'!$A34,'13.mell_ÖNKfeladatok2019'!AR$167:AR$321)</f>
        <v>0</v>
      </c>
      <c r="R104" s="772">
        <f>+SUMIF('13.mell_ÖNKfeladatok2019'!$B$167:$B$321,'14.mell_Önk kiegészítés2019'!$A34,'13.mell_ÖNKfeladatok2019'!AV$167:AV$321)</f>
        <v>0</v>
      </c>
      <c r="S104" s="669">
        <f>SUM(K104:R104)</f>
        <v>292051</v>
      </c>
      <c r="T104" s="670">
        <f>S104-J104</f>
        <v>288573</v>
      </c>
      <c r="U104" s="1082">
        <f>+ROUND(SUMIF('10.mell_támogatások2019'!$B$6:$B$137,'14.mell_Önk kiegészítés2019'!$A34,'10.mell_támogatások2019'!E$6:E$137)/1000,0)+206</f>
        <v>236454</v>
      </c>
      <c r="V104" s="671">
        <f>+T104-U104</f>
        <v>52119</v>
      </c>
      <c r="AB104" s="226">
        <v>206</v>
      </c>
      <c r="AC104" s="226"/>
      <c r="AD104" s="226"/>
      <c r="AE104" s="226"/>
      <c r="AL104" s="486"/>
      <c r="AM104" s="486"/>
      <c r="AN104" s="486"/>
      <c r="AO104" s="486"/>
      <c r="BL104" s="226"/>
      <c r="BM104" s="226"/>
      <c r="BN104" s="226"/>
      <c r="BO104" s="226"/>
      <c r="BX104" s="226"/>
      <c r="BY104" s="226"/>
      <c r="BZ104" s="226"/>
      <c r="CA104" s="226"/>
    </row>
    <row r="105" spans="1:79">
      <c r="A105" s="735">
        <f>+A104+1</f>
        <v>20</v>
      </c>
      <c r="B105" s="494" t="s">
        <v>1168</v>
      </c>
      <c r="C105" s="495">
        <f>+SUMIF('13.mell_ÖNKfeladatok2019'!$B$5:$B$159,'14.mell_Önk kiegészítés2019'!$A35,'13.mell_ÖNKfeladatok2019'!P$5:P$159)</f>
        <v>0</v>
      </c>
      <c r="D105" s="495">
        <f>+SUMIF('13.mell_ÖNKfeladatok2019'!$B$5:$B$159,'14.mell_Önk kiegészítés2019'!$A35,'13.mell_ÖNKfeladatok2019'!T$5:T$159)</f>
        <v>0</v>
      </c>
      <c r="E105" s="495">
        <f>+SUMIF('13.mell_ÖNKfeladatok2019'!$B$5:$B$159,'14.mell_Önk kiegészítés2019'!$A35,'13.mell_ÖNKfeladatok2019'!X$5:X$159)</f>
        <v>11793</v>
      </c>
      <c r="F105" s="495">
        <f>+SUMIF('13.mell_ÖNKfeladatok2019'!$B$5:$B$159,'14.mell_Önk kiegészítés2019'!$A35,'13.mell_ÖNKfeladatok2019'!AB$5:AB$159)</f>
        <v>0</v>
      </c>
      <c r="G105" s="495">
        <f>+SUMIF('13.mell_ÖNKfeladatok2019'!$B$5:$B$159,'14.mell_Önk kiegészítés2019'!$A35,'13.mell_ÖNKfeladatok2019'!AJ$5:AJ$159)</f>
        <v>0</v>
      </c>
      <c r="H105" s="495">
        <f>+SUMIF('13.mell_ÖNKfeladatok2019'!$B$5:$B$159,'14.mell_Önk kiegészítés2019'!$A35,'13.mell_ÖNKfeladatok2019'!AN$5:AN$159)</f>
        <v>0</v>
      </c>
      <c r="I105" s="495">
        <f>+SUMIF('13.mell_ÖNKfeladatok2019'!$B$5:$B$159,'14.mell_Önk kiegészítés2019'!$A35,'13.mell_ÖNKfeladatok2019'!AR$5:AR$159)</f>
        <v>0</v>
      </c>
      <c r="J105" s="534">
        <f>SUM(C105:I105)</f>
        <v>11793</v>
      </c>
      <c r="K105" s="495">
        <f>+SUMIF('13.mell_ÖNKfeladatok2019'!$B$167:$B$321,'14.mell_Önk kiegészítés2019'!$A35,'13.mell_ÖNKfeladatok2019'!P$167:P$321)</f>
        <v>0</v>
      </c>
      <c r="L105" s="495">
        <f>+SUMIF('13.mell_ÖNKfeladatok2019'!$B$167:$B$321,'14.mell_Önk kiegészítés2019'!$A35,'13.mell_ÖNKfeladatok2019'!T$167:T$321)</f>
        <v>0</v>
      </c>
      <c r="M105" s="495">
        <f>+SUMIF('13.mell_ÖNKfeladatok2019'!$B$167:$B$321,'14.mell_Önk kiegészítés2019'!$A35,'13.mell_ÖNKfeladatok2019'!X$167:X$321)</f>
        <v>91110</v>
      </c>
      <c r="N105" s="495">
        <f>+SUMIF('13.mell_ÖNKfeladatok2019'!$B$167:$B$321,'14.mell_Önk kiegészítés2019'!$A35,'13.mell_ÖNKfeladatok2019'!AB$167:AB$321)</f>
        <v>0</v>
      </c>
      <c r="O105" s="495">
        <f>+SUMIF('13.mell_ÖNKfeladatok2019'!$B$167:$B$321,'14.mell_Önk kiegészítés2019'!$A35,'13.mell_ÖNKfeladatok2019'!AF$167:AF$321)</f>
        <v>0</v>
      </c>
      <c r="P105" s="495">
        <f>+SUMIF('13.mell_ÖNKfeladatok2019'!$B$167:$B$321,'14.mell_Önk kiegészítés2019'!$A35,'13.mell_ÖNKfeladatok2019'!AN$167:AN$321)</f>
        <v>5196</v>
      </c>
      <c r="Q105" s="495">
        <f>+SUMIF('13.mell_ÖNKfeladatok2019'!$B$167:$B$321,'14.mell_Önk kiegészítés2019'!$A35,'13.mell_ÖNKfeladatok2019'!AR$167:AR$321)</f>
        <v>0</v>
      </c>
      <c r="R105" s="495">
        <f>+SUMIF('13.mell_ÖNKfeladatok2019'!$B$167:$B$321,'14.mell_Önk kiegészítés2019'!$A35,'13.mell_ÖNKfeladatok2019'!AV$167:AV$321)</f>
        <v>0</v>
      </c>
      <c r="S105" s="534">
        <f>SUM(K105:R105)</f>
        <v>96306</v>
      </c>
      <c r="T105" s="496">
        <f>S105-J105</f>
        <v>84513</v>
      </c>
      <c r="U105" s="1080">
        <f>+ROUND(SUMIF('10.mell_támogatások2019'!$B$6:$B$137,'14.mell_Önk kiegészítés2019'!$A35,'10.mell_támogatások2019'!E$6:E$137)/1000,0)-1490</f>
        <v>66533</v>
      </c>
      <c r="V105" s="497">
        <f>+T105-U105</f>
        <v>17980</v>
      </c>
      <c r="AB105" s="226"/>
      <c r="AC105" s="226"/>
      <c r="AD105" s="226"/>
      <c r="AE105" s="226"/>
      <c r="AH105" s="226">
        <f>((-(1163+227+100))+0)+0</f>
        <v>-1490</v>
      </c>
      <c r="AL105" s="486"/>
      <c r="AM105" s="486"/>
      <c r="AN105" s="486"/>
      <c r="AO105" s="486"/>
      <c r="BL105" s="226"/>
      <c r="BM105" s="226"/>
      <c r="BN105" s="226"/>
      <c r="BO105" s="226"/>
      <c r="BX105" s="226"/>
      <c r="BY105" s="226"/>
      <c r="BZ105" s="226"/>
      <c r="CA105" s="226"/>
    </row>
    <row r="106" spans="1:79" ht="12.75" thickBot="1">
      <c r="A106" s="770">
        <f>+A105+1</f>
        <v>21</v>
      </c>
      <c r="B106" s="507" t="s">
        <v>1161</v>
      </c>
      <c r="C106" s="508">
        <f>+SUMIF('13.mell_ÖNKfeladatok2019'!$B$5:$B$159,'14.mell_Önk kiegészítés2019'!$A36,'13.mell_ÖNKfeladatok2019'!P$5:P$159)</f>
        <v>0</v>
      </c>
      <c r="D106" s="508">
        <f>+SUMIF('13.mell_ÖNKfeladatok2019'!$B$5:$B$159,'14.mell_Önk kiegészítés2019'!$A36,'13.mell_ÖNKfeladatok2019'!T$5:T$159)</f>
        <v>0</v>
      </c>
      <c r="E106" s="508">
        <f>+SUMIF('13.mell_ÖNKfeladatok2019'!$B$5:$B$159,'14.mell_Önk kiegészítés2019'!$A36,'13.mell_ÖNKfeladatok2019'!X$5:X$159)</f>
        <v>0</v>
      </c>
      <c r="F106" s="508">
        <f>+SUMIF('13.mell_ÖNKfeladatok2019'!$B$5:$B$159,'14.mell_Önk kiegészítés2019'!$A36,'13.mell_ÖNKfeladatok2019'!AB$5:AB$159)</f>
        <v>0</v>
      </c>
      <c r="G106" s="508">
        <f>+SUMIF('13.mell_ÖNKfeladatok2019'!$B$5:$B$159,'14.mell_Önk kiegészítés2019'!$A36,'13.mell_ÖNKfeladatok2019'!AJ$5:AJ$159)</f>
        <v>0</v>
      </c>
      <c r="H106" s="508">
        <f>+SUMIF('13.mell_ÖNKfeladatok2019'!$B$5:$B$159,'14.mell_Önk kiegészítés2019'!$A36,'13.mell_ÖNKfeladatok2019'!AN$5:AN$159)</f>
        <v>0</v>
      </c>
      <c r="I106" s="508">
        <f>+SUMIF('13.mell_ÖNKfeladatok2019'!$B$5:$B$159,'14.mell_Önk kiegészítés2019'!$A36,'13.mell_ÖNKfeladatok2019'!AR$5:AR$159)</f>
        <v>0</v>
      </c>
      <c r="J106" s="536">
        <f>SUM(C106:I106)</f>
        <v>0</v>
      </c>
      <c r="K106" s="491">
        <f>+SUMIF('13.mell_ÖNKfeladatok2019'!$B$167:$B$321,'14.mell_Önk kiegészítés2019'!$A36,'13.mell_ÖNKfeladatok2019'!P$167:P$321)</f>
        <v>28616</v>
      </c>
      <c r="L106" s="491">
        <f>+SUMIF('13.mell_ÖNKfeladatok2019'!$B$167:$B$321,'14.mell_Önk kiegészítés2019'!$A36,'13.mell_ÖNKfeladatok2019'!T$167:T$321)</f>
        <v>5646</v>
      </c>
      <c r="M106" s="491">
        <f>+SUMIF('13.mell_ÖNKfeladatok2019'!$B$167:$B$321,'14.mell_Önk kiegészítés2019'!$A36,'13.mell_ÖNKfeladatok2019'!X$167:X$321)</f>
        <v>3830</v>
      </c>
      <c r="N106" s="491">
        <f>+SUMIF('13.mell_ÖNKfeladatok2019'!$B$167:$B$321,'14.mell_Önk kiegészítés2019'!$A36,'13.mell_ÖNKfeladatok2019'!AB$167:AB$321)</f>
        <v>0</v>
      </c>
      <c r="O106" s="491">
        <f>+SUMIF('13.mell_ÖNKfeladatok2019'!$B$167:$B$321,'14.mell_Önk kiegészítés2019'!$A36,'13.mell_ÖNKfeladatok2019'!AF$167:AF$321)</f>
        <v>0</v>
      </c>
      <c r="P106" s="491">
        <f>+SUMIF('13.mell_ÖNKfeladatok2019'!$B$167:$B$321,'14.mell_Önk kiegészítés2019'!$A36,'13.mell_ÖNKfeladatok2019'!AN$167:AN$321)</f>
        <v>884</v>
      </c>
      <c r="Q106" s="491">
        <f>+SUMIF('13.mell_ÖNKfeladatok2019'!$B$167:$B$321,'14.mell_Önk kiegészítés2019'!$A36,'13.mell_ÖNKfeladatok2019'!AR$167:AR$321)</f>
        <v>0</v>
      </c>
      <c r="R106" s="491">
        <f>+SUMIF('13.mell_ÖNKfeladatok2019'!$B$167:$B$321,'14.mell_Önk kiegészítés2019'!$A36,'13.mell_ÖNKfeladatok2019'!AV$167:AV$321)</f>
        <v>0</v>
      </c>
      <c r="S106" s="533">
        <f>SUM(K106:R106)</f>
        <v>38976</v>
      </c>
      <c r="T106" s="492">
        <f>S106-J106</f>
        <v>38976</v>
      </c>
      <c r="U106" s="1079">
        <f>+ROUND(SUMIF('10.mell_támogatások2019'!$B$6:$B$137,'14.mell_Önk kiegészítés2019'!$A36,'10.mell_támogatások2019'!E$6:E$137)/1000,0)</f>
        <v>23732</v>
      </c>
      <c r="V106" s="493">
        <f>+T106-U106</f>
        <v>15244</v>
      </c>
      <c r="AB106" s="226"/>
      <c r="AC106" s="226"/>
      <c r="AD106" s="226"/>
      <c r="AE106" s="226"/>
      <c r="AL106" s="486"/>
      <c r="AM106" s="486"/>
      <c r="AN106" s="486"/>
      <c r="AO106" s="486"/>
      <c r="BL106" s="226"/>
      <c r="BM106" s="226"/>
      <c r="BN106" s="226"/>
      <c r="BO106" s="226"/>
      <c r="BX106" s="226"/>
      <c r="BY106" s="226"/>
      <c r="BZ106" s="226"/>
      <c r="CA106" s="226"/>
    </row>
    <row r="107" spans="1:79" ht="12.75" thickBot="1">
      <c r="A107" s="309" t="s">
        <v>754</v>
      </c>
      <c r="B107" s="450" t="s">
        <v>418</v>
      </c>
      <c r="C107" s="502">
        <f>SUM(C104:C106)</f>
        <v>0</v>
      </c>
      <c r="D107" s="502">
        <f t="shared" ref="D107" si="201">SUM(D104:D106)</f>
        <v>0</v>
      </c>
      <c r="E107" s="502">
        <f t="shared" ref="E107" si="202">SUM(E104:E106)</f>
        <v>15271</v>
      </c>
      <c r="F107" s="502">
        <f t="shared" ref="F107" si="203">SUM(F104:F106)</f>
        <v>0</v>
      </c>
      <c r="G107" s="502">
        <f t="shared" ref="G107" si="204">SUM(G104:G106)</f>
        <v>0</v>
      </c>
      <c r="H107" s="502">
        <f t="shared" ref="H107" si="205">SUM(H104:H106)</f>
        <v>0</v>
      </c>
      <c r="I107" s="502">
        <f t="shared" ref="I107:J107" si="206">SUM(I104:I106)</f>
        <v>0</v>
      </c>
      <c r="J107" s="505">
        <f t="shared" si="206"/>
        <v>15271</v>
      </c>
      <c r="K107" s="502">
        <f t="shared" ref="K107" si="207">SUM(K104:K106)</f>
        <v>240562</v>
      </c>
      <c r="L107" s="502">
        <f t="shared" ref="L107" si="208">SUM(L104:L106)</f>
        <v>56385</v>
      </c>
      <c r="M107" s="502">
        <f t="shared" ref="M107" si="209">SUM(M104:M106)</f>
        <v>123485</v>
      </c>
      <c r="N107" s="502">
        <f t="shared" ref="N107" si="210">SUM(N104:N106)</f>
        <v>0</v>
      </c>
      <c r="O107" s="502">
        <f t="shared" ref="O107" si="211">SUM(O104:O106)</f>
        <v>206</v>
      </c>
      <c r="P107" s="502">
        <f t="shared" ref="P107" si="212">SUM(P104:P106)</f>
        <v>6695</v>
      </c>
      <c r="Q107" s="502">
        <f t="shared" ref="Q107" si="213">SUM(Q104:Q106)</f>
        <v>0</v>
      </c>
      <c r="R107" s="502">
        <f t="shared" ref="R107:S107" si="214">SUM(R104:R106)</f>
        <v>0</v>
      </c>
      <c r="S107" s="505">
        <f t="shared" si="214"/>
        <v>427333</v>
      </c>
      <c r="T107" s="502">
        <f t="shared" ref="T107" si="215">SUM(T104:T106)</f>
        <v>412062</v>
      </c>
      <c r="U107" s="506">
        <f t="shared" ref="U107" si="216">SUM(U104:U106)</f>
        <v>326719</v>
      </c>
      <c r="V107" s="505">
        <f t="shared" ref="V107" si="217">SUM(V104:V106)</f>
        <v>85343</v>
      </c>
      <c r="X107" s="486"/>
      <c r="Y107" s="486"/>
      <c r="Z107" s="486"/>
      <c r="AB107" s="226"/>
      <c r="AC107" s="226"/>
      <c r="AD107" s="226"/>
      <c r="AE107" s="226"/>
      <c r="AL107" s="486"/>
      <c r="AM107" s="486"/>
      <c r="AN107" s="486"/>
      <c r="AO107" s="486"/>
      <c r="BL107" s="226"/>
      <c r="BM107" s="226"/>
      <c r="BN107" s="226"/>
      <c r="BO107" s="226"/>
      <c r="BX107" s="226"/>
      <c r="BY107" s="226"/>
      <c r="BZ107" s="226"/>
      <c r="CA107" s="226"/>
    </row>
    <row r="108" spans="1:79" ht="12.75" thickBot="1">
      <c r="A108" s="773">
        <f>+A106+1</f>
        <v>22</v>
      </c>
      <c r="B108" s="507" t="s">
        <v>419</v>
      </c>
      <c r="C108" s="508">
        <f>+SUMIF('13.mell_ÖNKfeladatok2019'!$B$5:$B$159,'14.mell_Önk kiegészítés2019'!$A38,'13.mell_ÖNKfeladatok2019'!P$5:P$159)</f>
        <v>0</v>
      </c>
      <c r="D108" s="508">
        <f>+SUMIF('13.mell_ÖNKfeladatok2019'!$B$5:$B$159,'14.mell_Önk kiegészítés2019'!$A38,'13.mell_ÖNKfeladatok2019'!T$5:T$159)</f>
        <v>0</v>
      </c>
      <c r="E108" s="508">
        <f>+SUMIF('13.mell_ÖNKfeladatok2019'!$B$5:$B$159,'14.mell_Önk kiegészítés2019'!$A38,'13.mell_ÖNKfeladatok2019'!X$5:X$159)</f>
        <v>0</v>
      </c>
      <c r="F108" s="508">
        <f>+SUMIF('13.mell_ÖNKfeladatok2019'!$B$5:$B$159,'14.mell_Önk kiegészítés2019'!$A38,'13.mell_ÖNKfeladatok2019'!AB$5:AB$159)</f>
        <v>0</v>
      </c>
      <c r="G108" s="508">
        <f>+SUMIF('13.mell_ÖNKfeladatok2019'!$B$5:$B$159,'14.mell_Önk kiegészítés2019'!$A38,'13.mell_ÖNKfeladatok2019'!AJ$5:AJ$159)</f>
        <v>0</v>
      </c>
      <c r="H108" s="508">
        <f>+SUMIF('13.mell_ÖNKfeladatok2019'!$B$5:$B$159,'14.mell_Önk kiegészítés2019'!$A38,'13.mell_ÖNKfeladatok2019'!AN$5:AN$159)</f>
        <v>0</v>
      </c>
      <c r="I108" s="508">
        <f>+SUMIF('13.mell_ÖNKfeladatok2019'!$B$5:$B$159,'14.mell_Önk kiegészítés2019'!$A38,'13.mell_ÖNKfeladatok2019'!AR$5:AR$159)</f>
        <v>0</v>
      </c>
      <c r="J108" s="536">
        <f>SUM(C108:I108)</f>
        <v>0</v>
      </c>
      <c r="K108" s="499">
        <f>+SUMIF('13.mell_ÖNKfeladatok2019'!$B$167:$B$321,'14.mell_Önk kiegészítés2019'!$A38,'13.mell_ÖNKfeladatok2019'!P$167:P$321)</f>
        <v>0</v>
      </c>
      <c r="L108" s="499">
        <f>+SUMIF('13.mell_ÖNKfeladatok2019'!$B$167:$B$321,'14.mell_Önk kiegészítés2019'!$A38,'13.mell_ÖNKfeladatok2019'!T$167:T$321)</f>
        <v>0</v>
      </c>
      <c r="M108" s="499">
        <f>+SUMIF('13.mell_ÖNKfeladatok2019'!$B$167:$B$321,'14.mell_Önk kiegészítés2019'!$A38,'13.mell_ÖNKfeladatok2019'!X$167:X$321)</f>
        <v>0</v>
      </c>
      <c r="N108" s="499">
        <f>+SUMIF('13.mell_ÖNKfeladatok2019'!$B$167:$B$321,'14.mell_Önk kiegészítés2019'!$A38,'13.mell_ÖNKfeladatok2019'!AB$167:AB$321)</f>
        <v>0</v>
      </c>
      <c r="O108" s="499">
        <f>+SUMIF('13.mell_ÖNKfeladatok2019'!$B$167:$B$321,'14.mell_Önk kiegészítés2019'!$A38,'13.mell_ÖNKfeladatok2019'!AF$167:AF$321)</f>
        <v>0</v>
      </c>
      <c r="P108" s="499">
        <f>+SUMIF('13.mell_ÖNKfeladatok2019'!$B$167:$B$321,'14.mell_Önk kiegészítés2019'!$A38,'13.mell_ÖNKfeladatok2019'!AN$167:AN$321)</f>
        <v>0</v>
      </c>
      <c r="Q108" s="499">
        <f>+SUMIF('13.mell_ÖNKfeladatok2019'!$B$167:$B$321,'14.mell_Önk kiegészítés2019'!$A38,'13.mell_ÖNKfeladatok2019'!AR$167:AR$321)</f>
        <v>0</v>
      </c>
      <c r="R108" s="499">
        <f>+SUMIF('13.mell_ÖNKfeladatok2019'!$B$167:$B$321,'14.mell_Önk kiegészítés2019'!$A38,'13.mell_ÖNKfeladatok2019'!AV$167:AV$321)</f>
        <v>0</v>
      </c>
      <c r="S108" s="535">
        <f>SUM(K108:R108)</f>
        <v>0</v>
      </c>
      <c r="T108" s="774">
        <f>S108-J108</f>
        <v>0</v>
      </c>
      <c r="U108" s="1083">
        <f>+ROUND(SUMIF('10.mell_támogatások2019'!$B$6:$B$137,'14.mell_Önk kiegészítés2019'!$A38,'10.mell_támogatások2019'!E$6:E$137)/1000,0)</f>
        <v>0</v>
      </c>
      <c r="V108" s="775">
        <f>+T108-U108</f>
        <v>0</v>
      </c>
      <c r="AB108" s="226"/>
      <c r="AC108" s="226"/>
      <c r="AD108" s="226"/>
      <c r="AE108" s="226"/>
      <c r="AL108" s="486"/>
      <c r="AM108" s="486"/>
      <c r="AN108" s="486"/>
      <c r="AO108" s="486"/>
      <c r="BL108" s="226"/>
      <c r="BM108" s="226"/>
      <c r="BN108" s="226"/>
      <c r="BO108" s="226"/>
      <c r="BX108" s="226"/>
      <c r="BY108" s="226"/>
      <c r="BZ108" s="226"/>
      <c r="CA108" s="226"/>
    </row>
    <row r="109" spans="1:79" ht="12.75" thickBot="1">
      <c r="A109" s="309" t="s">
        <v>755</v>
      </c>
      <c r="B109" s="450" t="s">
        <v>419</v>
      </c>
      <c r="C109" s="502">
        <f>SUM(C108)</f>
        <v>0</v>
      </c>
      <c r="D109" s="502">
        <f t="shared" ref="D109" si="218">SUM(D108)</f>
        <v>0</v>
      </c>
      <c r="E109" s="502">
        <f t="shared" ref="E109" si="219">SUM(E108)</f>
        <v>0</v>
      </c>
      <c r="F109" s="502">
        <f t="shared" ref="F109" si="220">SUM(F108)</f>
        <v>0</v>
      </c>
      <c r="G109" s="502">
        <f t="shared" ref="G109" si="221">SUM(G108)</f>
        <v>0</v>
      </c>
      <c r="H109" s="502">
        <f t="shared" ref="H109" si="222">SUM(H108)</f>
        <v>0</v>
      </c>
      <c r="I109" s="502">
        <f t="shared" ref="I109:J109" si="223">SUM(I108)</f>
        <v>0</v>
      </c>
      <c r="J109" s="505">
        <f t="shared" si="223"/>
        <v>0</v>
      </c>
      <c r="K109" s="502">
        <f t="shared" ref="K109" si="224">SUM(K108)</f>
        <v>0</v>
      </c>
      <c r="L109" s="502">
        <f t="shared" ref="L109" si="225">SUM(L108)</f>
        <v>0</v>
      </c>
      <c r="M109" s="502">
        <f t="shared" ref="M109" si="226">SUM(M108)</f>
        <v>0</v>
      </c>
      <c r="N109" s="502">
        <f t="shared" ref="N109" si="227">SUM(N108)</f>
        <v>0</v>
      </c>
      <c r="O109" s="502">
        <f t="shared" ref="O109" si="228">SUM(O108)</f>
        <v>0</v>
      </c>
      <c r="P109" s="502">
        <f t="shared" ref="P109" si="229">SUM(P108)</f>
        <v>0</v>
      </c>
      <c r="Q109" s="502">
        <f t="shared" ref="Q109" si="230">SUM(Q108)</f>
        <v>0</v>
      </c>
      <c r="R109" s="502">
        <f t="shared" ref="R109:S109" si="231">SUM(R108)</f>
        <v>0</v>
      </c>
      <c r="S109" s="505">
        <f t="shared" si="231"/>
        <v>0</v>
      </c>
      <c r="T109" s="502">
        <f t="shared" ref="T109" si="232">SUM(T108)</f>
        <v>0</v>
      </c>
      <c r="U109" s="506">
        <f t="shared" ref="U109" si="233">SUM(U108)</f>
        <v>0</v>
      </c>
      <c r="V109" s="505">
        <f t="shared" ref="V109" si="234">SUM(V108)</f>
        <v>0</v>
      </c>
      <c r="X109" s="486"/>
      <c r="Y109" s="486"/>
      <c r="Z109" s="486"/>
      <c r="AB109" s="226"/>
      <c r="AC109" s="226"/>
      <c r="AD109" s="226"/>
      <c r="AE109" s="226"/>
      <c r="AL109" s="486"/>
      <c r="AM109" s="486"/>
      <c r="AN109" s="486"/>
      <c r="AO109" s="486"/>
      <c r="BL109" s="226"/>
      <c r="BM109" s="226"/>
      <c r="BN109" s="226"/>
      <c r="BO109" s="226"/>
      <c r="BX109" s="226"/>
      <c r="BY109" s="226"/>
      <c r="BZ109" s="226"/>
      <c r="CA109" s="226"/>
    </row>
    <row r="110" spans="1:79" ht="12.75" thickBot="1">
      <c r="A110" s="773">
        <f>+A108+1</f>
        <v>23</v>
      </c>
      <c r="B110" s="507" t="s">
        <v>773</v>
      </c>
      <c r="C110" s="508">
        <f>+SUMIF('13.mell_ÖNKfeladatok2019'!$B$5:$B$159,'14.mell_Önk kiegészítés2019'!$A40,'13.mell_ÖNKfeladatok2019'!P$5:P$159)</f>
        <v>0</v>
      </c>
      <c r="D110" s="508">
        <f>+SUMIF('13.mell_ÖNKfeladatok2019'!$B$5:$B$159,'14.mell_Önk kiegészítés2019'!$A40,'13.mell_ÖNKfeladatok2019'!T$5:T$159)</f>
        <v>0</v>
      </c>
      <c r="E110" s="508">
        <f>+SUMIF('13.mell_ÖNKfeladatok2019'!$B$5:$B$159,'14.mell_Önk kiegészítés2019'!$A40,'13.mell_ÖNKfeladatok2019'!X$5:X$159)</f>
        <v>0</v>
      </c>
      <c r="F110" s="508">
        <f>+SUMIF('13.mell_ÖNKfeladatok2019'!$B$5:$B$159,'14.mell_Önk kiegészítés2019'!$A40,'13.mell_ÖNKfeladatok2019'!AB$5:AB$159)</f>
        <v>0</v>
      </c>
      <c r="G110" s="508">
        <f>+SUMIF('13.mell_ÖNKfeladatok2019'!$B$5:$B$159,'14.mell_Önk kiegészítés2019'!$A40,'13.mell_ÖNKfeladatok2019'!AJ$5:AJ$159)</f>
        <v>0</v>
      </c>
      <c r="H110" s="508">
        <f>+SUMIF('13.mell_ÖNKfeladatok2019'!$B$5:$B$159,'14.mell_Önk kiegészítés2019'!$A40,'13.mell_ÖNKfeladatok2019'!AN$5:AN$159)</f>
        <v>0</v>
      </c>
      <c r="I110" s="508">
        <f>+SUMIF('13.mell_ÖNKfeladatok2019'!$B$5:$B$159,'14.mell_Önk kiegészítés2019'!$A40,'13.mell_ÖNKfeladatok2019'!AR$5:AR$159)</f>
        <v>0</v>
      </c>
      <c r="J110" s="536">
        <f>SUM(C110:I110)</f>
        <v>0</v>
      </c>
      <c r="K110" s="499">
        <f>+SUMIF('13.mell_ÖNKfeladatok2019'!$B$167:$B$321,'14.mell_Önk kiegészítés2019'!$A40,'13.mell_ÖNKfeladatok2019'!P$167:P$321)</f>
        <v>0</v>
      </c>
      <c r="L110" s="499">
        <f>+SUMIF('13.mell_ÖNKfeladatok2019'!$B$167:$B$321,'14.mell_Önk kiegészítés2019'!$A40,'13.mell_ÖNKfeladatok2019'!T$167:T$321)</f>
        <v>0</v>
      </c>
      <c r="M110" s="499">
        <f>+SUMIF('13.mell_ÖNKfeladatok2019'!$B$167:$B$321,'14.mell_Önk kiegészítés2019'!$A40,'13.mell_ÖNKfeladatok2019'!X$167:X$321)</f>
        <v>0</v>
      </c>
      <c r="N110" s="499">
        <f>+SUMIF('13.mell_ÖNKfeladatok2019'!$B$167:$B$321,'14.mell_Önk kiegészítés2019'!$A40,'13.mell_ÖNKfeladatok2019'!AB$167:AB$321)</f>
        <v>0</v>
      </c>
      <c r="O110" s="499">
        <f>+SUMIF('13.mell_ÖNKfeladatok2019'!$B$167:$B$321,'14.mell_Önk kiegészítés2019'!$A40,'13.mell_ÖNKfeladatok2019'!AF$167:AF$321)</f>
        <v>0</v>
      </c>
      <c r="P110" s="499">
        <f>+SUMIF('13.mell_ÖNKfeladatok2019'!$B$167:$B$321,'14.mell_Önk kiegészítés2019'!$A40,'13.mell_ÖNKfeladatok2019'!AN$167:AN$321)</f>
        <v>0</v>
      </c>
      <c r="Q110" s="499">
        <f>+SUMIF('13.mell_ÖNKfeladatok2019'!$B$167:$B$321,'14.mell_Önk kiegészítés2019'!$A40,'13.mell_ÖNKfeladatok2019'!AR$167:AR$321)</f>
        <v>0</v>
      </c>
      <c r="R110" s="499">
        <f>+SUMIF('13.mell_ÖNKfeladatok2019'!$B$167:$B$321,'14.mell_Önk kiegészítés2019'!$A40,'13.mell_ÖNKfeladatok2019'!AV$167:AV$321)</f>
        <v>0</v>
      </c>
      <c r="S110" s="535">
        <f>SUM(K110:R110)</f>
        <v>0</v>
      </c>
      <c r="T110" s="774">
        <f>S110-J110</f>
        <v>0</v>
      </c>
      <c r="U110" s="1083">
        <f>+ROUND(SUMIF('10.mell_támogatások2019'!$B$6:$B$137,'14.mell_Önk kiegészítés2019'!$A40,'10.mell_támogatások2019'!E$6:E$137)/1000,0)</f>
        <v>0</v>
      </c>
      <c r="V110" s="775">
        <f>+T110-U110</f>
        <v>0</v>
      </c>
      <c r="AB110" s="226"/>
      <c r="AC110" s="226"/>
      <c r="AD110" s="226"/>
      <c r="AE110" s="226"/>
      <c r="AL110" s="486"/>
      <c r="AM110" s="486"/>
      <c r="AN110" s="486"/>
      <c r="AO110" s="486"/>
      <c r="BL110" s="226"/>
      <c r="BM110" s="226"/>
      <c r="BN110" s="226"/>
      <c r="BO110" s="226"/>
      <c r="BX110" s="226"/>
      <c r="BY110" s="226"/>
      <c r="BZ110" s="226"/>
      <c r="CA110" s="226"/>
    </row>
    <row r="111" spans="1:79" ht="12.75" thickBot="1">
      <c r="A111" s="309" t="s">
        <v>756</v>
      </c>
      <c r="B111" s="450" t="s">
        <v>773</v>
      </c>
      <c r="C111" s="502">
        <f>SUM(C110)</f>
        <v>0</v>
      </c>
      <c r="D111" s="502">
        <f t="shared" ref="D111" si="235">SUM(D110)</f>
        <v>0</v>
      </c>
      <c r="E111" s="502">
        <f t="shared" ref="E111" si="236">SUM(E110)</f>
        <v>0</v>
      </c>
      <c r="F111" s="502">
        <f t="shared" ref="F111" si="237">SUM(F110)</f>
        <v>0</v>
      </c>
      <c r="G111" s="502">
        <f t="shared" ref="G111" si="238">SUM(G110)</f>
        <v>0</v>
      </c>
      <c r="H111" s="502">
        <f t="shared" ref="H111" si="239">SUM(H110)</f>
        <v>0</v>
      </c>
      <c r="I111" s="502">
        <f t="shared" ref="I111:J111" si="240">SUM(I110)</f>
        <v>0</v>
      </c>
      <c r="J111" s="505">
        <f t="shared" si="240"/>
        <v>0</v>
      </c>
      <c r="K111" s="502">
        <f t="shared" ref="K111" si="241">SUM(K110)</f>
        <v>0</v>
      </c>
      <c r="L111" s="502">
        <f t="shared" ref="L111" si="242">SUM(L110)</f>
        <v>0</v>
      </c>
      <c r="M111" s="502">
        <f t="shared" ref="M111" si="243">SUM(M110)</f>
        <v>0</v>
      </c>
      <c r="N111" s="502">
        <f t="shared" ref="N111" si="244">SUM(N110)</f>
        <v>0</v>
      </c>
      <c r="O111" s="502">
        <f t="shared" ref="O111" si="245">SUM(O110)</f>
        <v>0</v>
      </c>
      <c r="P111" s="502">
        <f t="shared" ref="P111" si="246">SUM(P110)</f>
        <v>0</v>
      </c>
      <c r="Q111" s="502">
        <f t="shared" ref="Q111" si="247">SUM(Q110)</f>
        <v>0</v>
      </c>
      <c r="R111" s="502">
        <f t="shared" ref="R111:S111" si="248">SUM(R110)</f>
        <v>0</v>
      </c>
      <c r="S111" s="505">
        <f t="shared" si="248"/>
        <v>0</v>
      </c>
      <c r="T111" s="502">
        <f t="shared" ref="T111" si="249">SUM(T110)</f>
        <v>0</v>
      </c>
      <c r="U111" s="506">
        <f t="shared" ref="U111" si="250">SUM(U110)</f>
        <v>0</v>
      </c>
      <c r="V111" s="505">
        <f t="shared" ref="V111" si="251">SUM(V110)</f>
        <v>0</v>
      </c>
      <c r="Z111" s="486"/>
      <c r="AA111" s="486"/>
      <c r="AB111" s="226"/>
      <c r="AD111" s="226"/>
      <c r="AE111" s="226"/>
      <c r="AL111" s="486"/>
      <c r="AM111" s="486"/>
      <c r="AN111" s="486"/>
      <c r="AO111" s="486"/>
      <c r="BL111" s="226"/>
      <c r="BM111" s="226"/>
      <c r="BN111" s="226"/>
      <c r="BO111" s="226"/>
      <c r="BX111" s="226"/>
      <c r="BY111" s="226"/>
      <c r="BZ111" s="226"/>
      <c r="CA111" s="226"/>
    </row>
    <row r="112" spans="1:79" ht="12.75" thickBot="1">
      <c r="A112" s="452" t="s">
        <v>21</v>
      </c>
      <c r="B112" s="462" t="s">
        <v>420</v>
      </c>
      <c r="C112" s="511">
        <f>+C107+C109+C111</f>
        <v>0</v>
      </c>
      <c r="D112" s="512">
        <f t="shared" ref="D112" si="252">+D107+D109+D111</f>
        <v>0</v>
      </c>
      <c r="E112" s="512">
        <f t="shared" ref="E112" si="253">+E107+E109+E111</f>
        <v>15271</v>
      </c>
      <c r="F112" s="512">
        <f t="shared" ref="F112" si="254">+F107+F109+F111</f>
        <v>0</v>
      </c>
      <c r="G112" s="512">
        <f t="shared" ref="G112" si="255">+G107+G109+G111</f>
        <v>0</v>
      </c>
      <c r="H112" s="512">
        <f t="shared" ref="H112" si="256">+H107+H109+H111</f>
        <v>0</v>
      </c>
      <c r="I112" s="513">
        <f t="shared" ref="I112:J112" si="257">+I107+I109+I111</f>
        <v>0</v>
      </c>
      <c r="J112" s="514">
        <f t="shared" si="257"/>
        <v>15271</v>
      </c>
      <c r="K112" s="511">
        <f t="shared" ref="K112" si="258">+K107+K109+K111</f>
        <v>240562</v>
      </c>
      <c r="L112" s="511">
        <f t="shared" ref="L112" si="259">+L107+L109+L111</f>
        <v>56385</v>
      </c>
      <c r="M112" s="511">
        <f t="shared" ref="M112" si="260">+M107+M109+M111</f>
        <v>123485</v>
      </c>
      <c r="N112" s="511">
        <f t="shared" ref="N112" si="261">+N107+N109+N111</f>
        <v>0</v>
      </c>
      <c r="O112" s="511">
        <f t="shared" ref="O112" si="262">+O107+O109+O111</f>
        <v>206</v>
      </c>
      <c r="P112" s="511">
        <f t="shared" ref="P112" si="263">+P107+P109+P111</f>
        <v>6695</v>
      </c>
      <c r="Q112" s="511">
        <f t="shared" ref="Q112" si="264">+Q107+Q109+Q111</f>
        <v>0</v>
      </c>
      <c r="R112" s="511">
        <f t="shared" ref="R112:S112" si="265">+R107+R109+R111</f>
        <v>0</v>
      </c>
      <c r="S112" s="514">
        <f t="shared" si="265"/>
        <v>427333</v>
      </c>
      <c r="T112" s="511">
        <f t="shared" ref="T112" si="266">+T107+T109+T111</f>
        <v>412062</v>
      </c>
      <c r="U112" s="513">
        <f t="shared" ref="U112" si="267">+U107+U109+U111</f>
        <v>326719</v>
      </c>
      <c r="V112" s="514">
        <f t="shared" ref="V112" si="268">+V107+V109+V111</f>
        <v>85343</v>
      </c>
      <c r="Z112" s="486"/>
      <c r="AA112" s="486"/>
      <c r="AB112" s="226"/>
      <c r="AD112" s="226"/>
      <c r="AE112" s="226"/>
      <c r="AL112" s="486"/>
      <c r="AM112" s="486"/>
      <c r="AN112" s="486"/>
      <c r="AO112" s="486"/>
      <c r="BL112" s="226"/>
      <c r="BM112" s="226"/>
      <c r="BN112" s="226"/>
      <c r="BO112" s="226"/>
      <c r="BX112" s="226"/>
      <c r="BY112" s="226"/>
      <c r="BZ112" s="226"/>
      <c r="CA112" s="226"/>
    </row>
    <row r="113" spans="1:79" ht="12.75" thickBot="1">
      <c r="A113" s="309"/>
      <c r="B113" s="450"/>
      <c r="C113" s="522"/>
      <c r="D113" s="523"/>
      <c r="E113" s="523"/>
      <c r="F113" s="523"/>
      <c r="G113" s="523"/>
      <c r="H113" s="523"/>
      <c r="I113" s="524"/>
      <c r="J113" s="525"/>
      <c r="K113" s="522"/>
      <c r="L113" s="522"/>
      <c r="M113" s="522"/>
      <c r="N113" s="522"/>
      <c r="O113" s="522"/>
      <c r="P113" s="522"/>
      <c r="Q113" s="522"/>
      <c r="R113" s="522"/>
      <c r="S113" s="525"/>
      <c r="T113" s="522"/>
      <c r="U113" s="524"/>
      <c r="V113" s="525"/>
      <c r="Z113" s="486"/>
      <c r="AA113" s="486"/>
      <c r="AB113" s="226"/>
      <c r="AD113" s="226"/>
      <c r="AE113" s="226"/>
      <c r="AL113" s="486"/>
      <c r="AM113" s="486"/>
      <c r="AN113" s="486"/>
      <c r="AO113" s="486"/>
      <c r="BL113" s="226"/>
      <c r="BM113" s="226"/>
      <c r="BN113" s="226"/>
      <c r="BO113" s="226"/>
      <c r="BX113" s="226"/>
      <c r="BY113" s="226"/>
      <c r="BZ113" s="226"/>
      <c r="CA113" s="226"/>
    </row>
    <row r="114" spans="1:79">
      <c r="A114" s="734">
        <f>+A110+1</f>
        <v>24</v>
      </c>
      <c r="B114" s="668" t="s">
        <v>1099</v>
      </c>
      <c r="C114" s="772">
        <f>+SUMIF('13.mell_ÖNKfeladatok2019'!$B$5:$B$159,'14.mell_Önk kiegészítés2019'!$A44,'13.mell_ÖNKfeladatok2019'!P$5:P$159)</f>
        <v>0</v>
      </c>
      <c r="D114" s="772">
        <f>+SUMIF('13.mell_ÖNKfeladatok2019'!$B$5:$B$159,'14.mell_Önk kiegészítés2019'!$A44,'13.mell_ÖNKfeladatok2019'!T$5:T$159)</f>
        <v>0</v>
      </c>
      <c r="E114" s="772">
        <f>+SUMIF('13.mell_ÖNKfeladatok2019'!$B$5:$B$159,'14.mell_Önk kiegészítés2019'!$A44,'13.mell_ÖNKfeladatok2019'!X$5:X$159)</f>
        <v>0</v>
      </c>
      <c r="F114" s="772">
        <f>+SUMIF('13.mell_ÖNKfeladatok2019'!$B$5:$B$159,'14.mell_Önk kiegészítés2019'!$A44,'13.mell_ÖNKfeladatok2019'!AB$5:AB$159)</f>
        <v>0</v>
      </c>
      <c r="G114" s="772">
        <f>+SUMIF('13.mell_ÖNKfeladatok2019'!$B$5:$B$159,'14.mell_Önk kiegészítés2019'!$A44,'13.mell_ÖNKfeladatok2019'!AJ$5:AJ$159)</f>
        <v>0</v>
      </c>
      <c r="H114" s="772">
        <f>+SUMIF('13.mell_ÖNKfeladatok2019'!$B$5:$B$159,'14.mell_Önk kiegészítés2019'!$A44,'13.mell_ÖNKfeladatok2019'!AN$5:AN$159)</f>
        <v>0</v>
      </c>
      <c r="I114" s="772">
        <f>+SUMIF('13.mell_ÖNKfeladatok2019'!$B$5:$B$159,'14.mell_Önk kiegészítés2019'!$A44,'13.mell_ÖNKfeladatok2019'!AR$5:AR$159)</f>
        <v>0</v>
      </c>
      <c r="J114" s="669">
        <f>SUM(C114:I114)</f>
        <v>0</v>
      </c>
      <c r="K114" s="772">
        <f>+SUMIF('13.mell_ÖNKfeladatok2019'!$B$167:$B$321,'14.mell_Önk kiegészítés2019'!$A44,'13.mell_ÖNKfeladatok2019'!P$167:P$321)</f>
        <v>0</v>
      </c>
      <c r="L114" s="772">
        <f>+SUMIF('13.mell_ÖNKfeladatok2019'!$B$167:$B$321,'14.mell_Önk kiegészítés2019'!$A44,'13.mell_ÖNKfeladatok2019'!T$167:T$321)</f>
        <v>0</v>
      </c>
      <c r="M114" s="772">
        <f>+SUMIF('13.mell_ÖNKfeladatok2019'!$B$167:$B$321,'14.mell_Önk kiegészítés2019'!$A44,'13.mell_ÖNKfeladatok2019'!X$167:X$321)</f>
        <v>1956</v>
      </c>
      <c r="N114" s="772">
        <f>+SUMIF('13.mell_ÖNKfeladatok2019'!$B$167:$B$321,'14.mell_Önk kiegészítés2019'!$A44,'13.mell_ÖNKfeladatok2019'!AB$167:AB$321)</f>
        <v>0</v>
      </c>
      <c r="O114" s="772">
        <f>+SUMIF('13.mell_ÖNKfeladatok2019'!$B$167:$B$321,'14.mell_Önk kiegészítés2019'!$A44,'13.mell_ÖNKfeladatok2019'!AF$167:AF$321)</f>
        <v>0</v>
      </c>
      <c r="P114" s="772">
        <f>+SUMIF('13.mell_ÖNKfeladatok2019'!$B$167:$B$321,'14.mell_Önk kiegészítés2019'!$A44,'13.mell_ÖNKfeladatok2019'!AN$167:AN$321)</f>
        <v>0</v>
      </c>
      <c r="Q114" s="772">
        <f>+SUMIF('13.mell_ÖNKfeladatok2019'!$B$167:$B$321,'14.mell_Önk kiegészítés2019'!$A44,'13.mell_ÖNKfeladatok2019'!AR$167:AR$321)</f>
        <v>0</v>
      </c>
      <c r="R114" s="772">
        <f>+SUMIF('13.mell_ÖNKfeladatok2019'!$B$167:$B$321,'14.mell_Önk kiegészítés2019'!$A44,'13.mell_ÖNKfeladatok2019'!AV$167:AV$321)</f>
        <v>0</v>
      </c>
      <c r="S114" s="669">
        <f>SUM(K114:R114)</f>
        <v>1956</v>
      </c>
      <c r="T114" s="670">
        <f>S114-J114</f>
        <v>1956</v>
      </c>
      <c r="U114" s="1082">
        <f>+ROUND(SUMIF('10.mell_támogatások2019'!$B$6:$B$137,'14.mell_Önk kiegészítés2019'!$A44,'10.mell_támogatások2019'!E$6:E$137)/1000,0)</f>
        <v>0</v>
      </c>
      <c r="V114" s="671">
        <f>+T114-U114</f>
        <v>1956</v>
      </c>
      <c r="Z114" s="486"/>
      <c r="AA114" s="486"/>
      <c r="AB114" s="226"/>
      <c r="AD114" s="226"/>
      <c r="AE114" s="226"/>
      <c r="AL114" s="486"/>
      <c r="AM114" s="486"/>
      <c r="AN114" s="486"/>
      <c r="AO114" s="486"/>
      <c r="BL114" s="226"/>
      <c r="BM114" s="226"/>
      <c r="BN114" s="226"/>
      <c r="BO114" s="226"/>
      <c r="BX114" s="226"/>
      <c r="BY114" s="226"/>
      <c r="BZ114" s="226"/>
      <c r="CA114" s="226"/>
    </row>
    <row r="115" spans="1:79">
      <c r="A115" s="735">
        <f>+A114+1</f>
        <v>25</v>
      </c>
      <c r="B115" s="494" t="s">
        <v>1162</v>
      </c>
      <c r="C115" s="495">
        <f>+SUMIF('13.mell_ÖNKfeladatok2019'!$B$5:$B$159,'14.mell_Önk kiegészítés2019'!$A45,'13.mell_ÖNKfeladatok2019'!P$5:P$159)</f>
        <v>0</v>
      </c>
      <c r="D115" s="495">
        <f>+SUMIF('13.mell_ÖNKfeladatok2019'!$B$5:$B$159,'14.mell_Önk kiegészítés2019'!$A45,'13.mell_ÖNKfeladatok2019'!T$5:T$159)</f>
        <v>0</v>
      </c>
      <c r="E115" s="495">
        <f>+SUMIF('13.mell_ÖNKfeladatok2019'!$B$5:$B$159,'14.mell_Önk kiegészítés2019'!$A45,'13.mell_ÖNKfeladatok2019'!X$5:X$159)</f>
        <v>566</v>
      </c>
      <c r="F115" s="495">
        <f>+SUMIF('13.mell_ÖNKfeladatok2019'!$B$5:$B$159,'14.mell_Önk kiegészítés2019'!$A45,'13.mell_ÖNKfeladatok2019'!AB$5:AB$159)</f>
        <v>4</v>
      </c>
      <c r="G115" s="495">
        <f>+SUMIF('13.mell_ÖNKfeladatok2019'!$B$5:$B$159,'14.mell_Önk kiegészítés2019'!$A45,'13.mell_ÖNKfeladatok2019'!AJ$5:AJ$159)</f>
        <v>0</v>
      </c>
      <c r="H115" s="495">
        <f>+SUMIF('13.mell_ÖNKfeladatok2019'!$B$5:$B$159,'14.mell_Önk kiegészítés2019'!$A45,'13.mell_ÖNKfeladatok2019'!AN$5:AN$159)</f>
        <v>0</v>
      </c>
      <c r="I115" s="495">
        <f>+SUMIF('13.mell_ÖNKfeladatok2019'!$B$5:$B$159,'14.mell_Önk kiegészítés2019'!$A45,'13.mell_ÖNKfeladatok2019'!AR$5:AR$159)</f>
        <v>0</v>
      </c>
      <c r="J115" s="534">
        <f>SUM(C115:I115)</f>
        <v>570</v>
      </c>
      <c r="K115" s="495">
        <f>+SUMIF('13.mell_ÖNKfeladatok2019'!$B$167:$B$321,'14.mell_Önk kiegészítés2019'!$A45,'13.mell_ÖNKfeladatok2019'!P$167:P$321)</f>
        <v>21343</v>
      </c>
      <c r="L115" s="495">
        <f>+SUMIF('13.mell_ÖNKfeladatok2019'!$B$167:$B$321,'14.mell_Önk kiegészítés2019'!$A45,'13.mell_ÖNKfeladatok2019'!T$167:T$321)</f>
        <v>4011</v>
      </c>
      <c r="M115" s="495">
        <f>+SUMIF('13.mell_ÖNKfeladatok2019'!$B$167:$B$321,'14.mell_Önk kiegészítés2019'!$A45,'13.mell_ÖNKfeladatok2019'!X$167:X$321)</f>
        <v>6482</v>
      </c>
      <c r="N115" s="495">
        <f>+SUMIF('13.mell_ÖNKfeladatok2019'!$B$167:$B$321,'14.mell_Önk kiegészítés2019'!$A45,'13.mell_ÖNKfeladatok2019'!AB$167:AB$321)</f>
        <v>0</v>
      </c>
      <c r="O115" s="495">
        <f>+SUMIF('13.mell_ÖNKfeladatok2019'!$B$167:$B$321,'14.mell_Önk kiegészítés2019'!$A45,'13.mell_ÖNKfeladatok2019'!AF$167:AF$321)</f>
        <v>654</v>
      </c>
      <c r="P115" s="495">
        <f>+SUMIF('13.mell_ÖNKfeladatok2019'!$B$167:$B$321,'14.mell_Önk kiegészítés2019'!$A45,'13.mell_ÖNKfeladatok2019'!AN$167:AN$321)</f>
        <v>0</v>
      </c>
      <c r="Q115" s="495">
        <f>+SUMIF('13.mell_ÖNKfeladatok2019'!$B$167:$B$321,'14.mell_Önk kiegészítés2019'!$A45,'13.mell_ÖNKfeladatok2019'!AR$167:AR$321)</f>
        <v>0</v>
      </c>
      <c r="R115" s="495">
        <f>+SUMIF('13.mell_ÖNKfeladatok2019'!$B$167:$B$321,'14.mell_Önk kiegészítés2019'!$A45,'13.mell_ÖNKfeladatok2019'!AV$167:AV$321)</f>
        <v>0</v>
      </c>
      <c r="S115" s="534">
        <f>SUM(K115:R115)</f>
        <v>32490</v>
      </c>
      <c r="T115" s="496">
        <f>S115-J115</f>
        <v>31920</v>
      </c>
      <c r="U115" s="1080">
        <f>+ROUND(SUMIF('10.mell_támogatások2019'!$B$6:$B$137,'14.mell_Önk kiegészítés2019'!$A45,'10.mell_támogatások2019'!E$6:E$137)/1000,0)+654+243</f>
        <v>16811</v>
      </c>
      <c r="V115" s="497">
        <f>+T115-U115</f>
        <v>15109</v>
      </c>
      <c r="Z115" s="486"/>
      <c r="AA115" s="486"/>
      <c r="AB115" s="226">
        <v>654</v>
      </c>
      <c r="AD115" s="226"/>
      <c r="AE115" s="226">
        <f>((0+(99+19))+(36+6))+(53+9)+21</f>
        <v>243</v>
      </c>
      <c r="AL115" s="486"/>
      <c r="AM115" s="486"/>
      <c r="AN115" s="486"/>
      <c r="AO115" s="486"/>
      <c r="BL115" s="226"/>
      <c r="BM115" s="226"/>
      <c r="BN115" s="226"/>
      <c r="BO115" s="226"/>
      <c r="BX115" s="226"/>
      <c r="BY115" s="226"/>
      <c r="BZ115" s="226"/>
      <c r="CA115" s="226"/>
    </row>
    <row r="116" spans="1:79" ht="12.75" thickBot="1">
      <c r="A116" s="776">
        <f>+A115+1</f>
        <v>26</v>
      </c>
      <c r="B116" s="507" t="s">
        <v>1106</v>
      </c>
      <c r="C116" s="508">
        <f>+SUMIF('13.mell_ÖNKfeladatok2019'!$B$5:$B$159,'14.mell_Önk kiegészítés2019'!$A46,'13.mell_ÖNKfeladatok2019'!P$5:P$159)</f>
        <v>800</v>
      </c>
      <c r="D116" s="508">
        <f>+SUMIF('13.mell_ÖNKfeladatok2019'!$B$5:$B$159,'14.mell_Önk kiegészítés2019'!$A46,'13.mell_ÖNKfeladatok2019'!T$5:T$159)</f>
        <v>0</v>
      </c>
      <c r="E116" s="508">
        <f>+SUMIF('13.mell_ÖNKfeladatok2019'!$B$5:$B$159,'14.mell_Önk kiegészítés2019'!$A46,'13.mell_ÖNKfeladatok2019'!X$5:X$159)</f>
        <v>110</v>
      </c>
      <c r="F116" s="508">
        <f>+SUMIF('13.mell_ÖNKfeladatok2019'!$B$5:$B$159,'14.mell_Önk kiegészítés2019'!$A46,'13.mell_ÖNKfeladatok2019'!AB$5:AB$159)</f>
        <v>0</v>
      </c>
      <c r="G116" s="508">
        <f>+SUMIF('13.mell_ÖNKfeladatok2019'!$B$5:$B$159,'14.mell_Önk kiegészítés2019'!$A46,'13.mell_ÖNKfeladatok2019'!AJ$5:AJ$159)</f>
        <v>0</v>
      </c>
      <c r="H116" s="508">
        <f>+SUMIF('13.mell_ÖNKfeladatok2019'!$B$5:$B$159,'14.mell_Önk kiegészítés2019'!$A46,'13.mell_ÖNKfeladatok2019'!AN$5:AN$159)</f>
        <v>0</v>
      </c>
      <c r="I116" s="508">
        <f>+SUMIF('13.mell_ÖNKfeladatok2019'!$B$5:$B$159,'14.mell_Önk kiegészítés2019'!$A46,'13.mell_ÖNKfeladatok2019'!AR$5:AR$159)</f>
        <v>0</v>
      </c>
      <c r="J116" s="536">
        <f>SUM(C116:I116)</f>
        <v>910</v>
      </c>
      <c r="K116" s="508">
        <f>+SUMIF('13.mell_ÖNKfeladatok2019'!$B$167:$B$321,'14.mell_Önk kiegészítés2019'!$A46,'13.mell_ÖNKfeladatok2019'!P$167:P$321)</f>
        <v>4259</v>
      </c>
      <c r="L116" s="508">
        <f>+SUMIF('13.mell_ÖNKfeladatok2019'!$B$167:$B$321,'14.mell_Önk kiegészítés2019'!$A46,'13.mell_ÖNKfeladatok2019'!T$167:T$321)</f>
        <v>798</v>
      </c>
      <c r="M116" s="508">
        <f>+SUMIF('13.mell_ÖNKfeladatok2019'!$B$167:$B$321,'14.mell_Önk kiegészítés2019'!$A46,'13.mell_ÖNKfeladatok2019'!X$167:X$321)</f>
        <v>2125</v>
      </c>
      <c r="N116" s="508">
        <f>+SUMIF('13.mell_ÖNKfeladatok2019'!$B$167:$B$321,'14.mell_Önk kiegészítés2019'!$A46,'13.mell_ÖNKfeladatok2019'!AB$167:AB$321)</f>
        <v>0</v>
      </c>
      <c r="O116" s="508">
        <f>+SUMIF('13.mell_ÖNKfeladatok2019'!$B$167:$B$321,'14.mell_Önk kiegészítés2019'!$A46,'13.mell_ÖNKfeladatok2019'!AF$167:AF$321)</f>
        <v>0</v>
      </c>
      <c r="P116" s="508">
        <f>+SUMIF('13.mell_ÖNKfeladatok2019'!$B$167:$B$321,'14.mell_Önk kiegészítés2019'!$A46,'13.mell_ÖNKfeladatok2019'!AN$167:AN$321)</f>
        <v>0</v>
      </c>
      <c r="Q116" s="508">
        <f>+SUMIF('13.mell_ÖNKfeladatok2019'!$B$167:$B$321,'14.mell_Önk kiegészítés2019'!$A46,'13.mell_ÖNKfeladatok2019'!AR$167:AR$321)</f>
        <v>0</v>
      </c>
      <c r="R116" s="508">
        <f>+SUMIF('13.mell_ÖNKfeladatok2019'!$B$167:$B$321,'14.mell_Önk kiegészítés2019'!$A46,'13.mell_ÖNKfeladatok2019'!AV$167:AV$321)</f>
        <v>0</v>
      </c>
      <c r="S116" s="536">
        <f>SUM(K116:R116)</f>
        <v>7182</v>
      </c>
      <c r="T116" s="777">
        <f>S116-J116</f>
        <v>6272</v>
      </c>
      <c r="U116" s="1084">
        <f>+ROUND(SUMIF('10.mell_támogatások2019'!$B$6:$B$137,'14.mell_Önk kiegészítés2019'!$A46,'10.mell_támogatások2019'!E$6:E$137)/1000,0)</f>
        <v>6679</v>
      </c>
      <c r="V116" s="778">
        <f>+T116-U116</f>
        <v>-407</v>
      </c>
      <c r="Z116" s="486"/>
      <c r="AA116" s="486"/>
      <c r="AB116" s="226"/>
      <c r="AD116" s="226"/>
      <c r="AE116" s="226"/>
      <c r="AL116" s="486"/>
      <c r="AM116" s="486"/>
      <c r="AN116" s="486"/>
      <c r="AO116" s="486"/>
      <c r="BL116" s="226"/>
      <c r="BM116" s="226"/>
      <c r="BN116" s="226"/>
      <c r="BO116" s="226"/>
      <c r="BX116" s="226"/>
      <c r="BY116" s="226"/>
      <c r="BZ116" s="226"/>
      <c r="CA116" s="226"/>
    </row>
    <row r="117" spans="1:79" ht="12.75" thickBot="1">
      <c r="A117" s="309" t="s">
        <v>757</v>
      </c>
      <c r="B117" s="450" t="s">
        <v>421</v>
      </c>
      <c r="C117" s="502">
        <f>SUM(C114:C116)</f>
        <v>800</v>
      </c>
      <c r="D117" s="502">
        <f t="shared" ref="D117" si="269">SUM(D114:D116)</f>
        <v>0</v>
      </c>
      <c r="E117" s="502">
        <f t="shared" ref="E117" si="270">SUM(E114:E116)</f>
        <v>676</v>
      </c>
      <c r="F117" s="502">
        <f t="shared" ref="F117" si="271">SUM(F114:F116)</f>
        <v>4</v>
      </c>
      <c r="G117" s="502">
        <f t="shared" ref="G117" si="272">SUM(G114:G116)</f>
        <v>0</v>
      </c>
      <c r="H117" s="502">
        <f t="shared" ref="H117" si="273">SUM(H114:H116)</f>
        <v>0</v>
      </c>
      <c r="I117" s="502">
        <f t="shared" ref="I117:J117" si="274">SUM(I114:I116)</f>
        <v>0</v>
      </c>
      <c r="J117" s="505">
        <f t="shared" si="274"/>
        <v>1480</v>
      </c>
      <c r="K117" s="502">
        <f t="shared" ref="K117" si="275">SUM(K114:K116)</f>
        <v>25602</v>
      </c>
      <c r="L117" s="502">
        <f t="shared" ref="L117" si="276">SUM(L114:L116)</f>
        <v>4809</v>
      </c>
      <c r="M117" s="502">
        <f t="shared" ref="M117" si="277">SUM(M114:M116)</f>
        <v>10563</v>
      </c>
      <c r="N117" s="502">
        <f t="shared" ref="N117" si="278">SUM(N114:N116)</f>
        <v>0</v>
      </c>
      <c r="O117" s="502">
        <f t="shared" ref="O117" si="279">SUM(O114:O116)</f>
        <v>654</v>
      </c>
      <c r="P117" s="502">
        <f t="shared" ref="P117" si="280">SUM(P114:P116)</f>
        <v>0</v>
      </c>
      <c r="Q117" s="502">
        <f t="shared" ref="Q117" si="281">SUM(Q114:Q116)</f>
        <v>0</v>
      </c>
      <c r="R117" s="502">
        <f t="shared" ref="R117:S117" si="282">SUM(R114:R116)</f>
        <v>0</v>
      </c>
      <c r="S117" s="505">
        <f t="shared" si="282"/>
        <v>41628</v>
      </c>
      <c r="T117" s="502">
        <f t="shared" ref="T117" si="283">SUM(T114:T116)</f>
        <v>40148</v>
      </c>
      <c r="U117" s="506">
        <f t="shared" ref="U117" si="284">SUM(U114:U116)</f>
        <v>23490</v>
      </c>
      <c r="V117" s="505">
        <f t="shared" ref="V117" si="285">SUM(V114:V116)</f>
        <v>16658</v>
      </c>
      <c r="Z117" s="486"/>
      <c r="AA117" s="486"/>
      <c r="AB117" s="226"/>
      <c r="AD117" s="226"/>
      <c r="AE117" s="226"/>
      <c r="AL117" s="486"/>
      <c r="AM117" s="486"/>
      <c r="AN117" s="486"/>
      <c r="AO117" s="486"/>
      <c r="BL117" s="226"/>
      <c r="BM117" s="226"/>
      <c r="BN117" s="226"/>
      <c r="BO117" s="226"/>
      <c r="BX117" s="226"/>
      <c r="BY117" s="226"/>
      <c r="BZ117" s="226"/>
      <c r="CA117" s="226"/>
    </row>
    <row r="118" spans="1:79" ht="12.75" thickBot="1">
      <c r="A118" s="781">
        <f>+A116+1</f>
        <v>27</v>
      </c>
      <c r="B118" s="782" t="s">
        <v>759</v>
      </c>
      <c r="C118" s="783">
        <f>+SUMIF('13.mell_ÖNKfeladatok2019'!$B$5:$B$159,'14.mell_Önk kiegészítés2019'!$A48,'13.mell_ÖNKfeladatok2019'!P$5:P$159)</f>
        <v>0</v>
      </c>
      <c r="D118" s="783">
        <f>+SUMIF('13.mell_ÖNKfeladatok2019'!$B$5:$B$159,'14.mell_Önk kiegészítés2019'!$A48,'13.mell_ÖNKfeladatok2019'!T$5:T$159)</f>
        <v>0</v>
      </c>
      <c r="E118" s="783">
        <f>+SUMIF('13.mell_ÖNKfeladatok2019'!$B$5:$B$159,'14.mell_Önk kiegészítés2019'!$A48,'13.mell_ÖNKfeladatok2019'!X$5:X$159)</f>
        <v>0</v>
      </c>
      <c r="F118" s="783">
        <f>+SUMIF('13.mell_ÖNKfeladatok2019'!$B$5:$B$159,'14.mell_Önk kiegészítés2019'!$A48,'13.mell_ÖNKfeladatok2019'!AB$5:AB$159)</f>
        <v>0</v>
      </c>
      <c r="G118" s="783">
        <f>+SUMIF('13.mell_ÖNKfeladatok2019'!$B$5:$B$159,'14.mell_Önk kiegészítés2019'!$A48,'13.mell_ÖNKfeladatok2019'!AJ$5:AJ$159)</f>
        <v>0</v>
      </c>
      <c r="H118" s="783">
        <f>+SUMIF('13.mell_ÖNKfeladatok2019'!$B$5:$B$159,'14.mell_Önk kiegészítés2019'!$A48,'13.mell_ÖNKfeladatok2019'!AN$5:AN$159)</f>
        <v>0</v>
      </c>
      <c r="I118" s="783">
        <f>+SUMIF('13.mell_ÖNKfeladatok2019'!$B$5:$B$159,'14.mell_Önk kiegészítés2019'!$A48,'13.mell_ÖNKfeladatok2019'!AR$5:AR$159)</f>
        <v>0</v>
      </c>
      <c r="J118" s="784">
        <f>SUM(C118:I118)</f>
        <v>0</v>
      </c>
      <c r="K118" s="783">
        <f>+SUMIF('13.mell_ÖNKfeladatok2019'!$B$167:$B$321,'14.mell_Önk kiegészítés2019'!$A48,'13.mell_ÖNKfeladatok2019'!P$167:P$321)</f>
        <v>0</v>
      </c>
      <c r="L118" s="783">
        <f>+SUMIF('13.mell_ÖNKfeladatok2019'!$B$167:$B$321,'14.mell_Önk kiegészítés2019'!$A48,'13.mell_ÖNKfeladatok2019'!T$167:T$321)</f>
        <v>0</v>
      </c>
      <c r="M118" s="783">
        <f>+SUMIF('13.mell_ÖNKfeladatok2019'!$B$167:$B$321,'14.mell_Önk kiegészítés2019'!$A48,'13.mell_ÖNKfeladatok2019'!X$167:X$321)</f>
        <v>0</v>
      </c>
      <c r="N118" s="783">
        <f>+SUMIF('13.mell_ÖNKfeladatok2019'!$B$167:$B$321,'14.mell_Önk kiegészítés2019'!$A48,'13.mell_ÖNKfeladatok2019'!AB$167:AB$321)</f>
        <v>0</v>
      </c>
      <c r="O118" s="783">
        <f>+SUMIF('13.mell_ÖNKfeladatok2019'!$B$167:$B$321,'14.mell_Önk kiegészítés2019'!$A48,'13.mell_ÖNKfeladatok2019'!AF$167:AF$321)</f>
        <v>0</v>
      </c>
      <c r="P118" s="783">
        <f>+SUMIF('13.mell_ÖNKfeladatok2019'!$B$167:$B$321,'14.mell_Önk kiegészítés2019'!$A48,'13.mell_ÖNKfeladatok2019'!AN$167:AN$321)</f>
        <v>0</v>
      </c>
      <c r="Q118" s="783">
        <f>+SUMIF('13.mell_ÖNKfeladatok2019'!$B$167:$B$321,'14.mell_Önk kiegészítés2019'!$A48,'13.mell_ÖNKfeladatok2019'!AR$167:AR$321)</f>
        <v>0</v>
      </c>
      <c r="R118" s="783">
        <f>+SUMIF('13.mell_ÖNKfeladatok2019'!$B$167:$B$321,'14.mell_Önk kiegészítés2019'!$A48,'13.mell_ÖNKfeladatok2019'!AV$167:AV$321)</f>
        <v>0</v>
      </c>
      <c r="S118" s="784">
        <f>SUM(K118:R118)</f>
        <v>0</v>
      </c>
      <c r="T118" s="502">
        <f>S118-J118</f>
        <v>0</v>
      </c>
      <c r="U118" s="1085">
        <f>+ROUND(SUMIF('10.mell_támogatások2019'!$B$6:$B$137,'14.mell_Önk kiegészítés2019'!$A48,'10.mell_támogatások2019'!E$6:E$137)/1000,0)</f>
        <v>0</v>
      </c>
      <c r="V118" s="505">
        <f>+T118-U118</f>
        <v>0</v>
      </c>
      <c r="Z118" s="486"/>
      <c r="AA118" s="486"/>
      <c r="AB118" s="226"/>
      <c r="AD118" s="226"/>
      <c r="AE118" s="226"/>
      <c r="AL118" s="486"/>
      <c r="AM118" s="486"/>
      <c r="AN118" s="486"/>
      <c r="AO118" s="486"/>
      <c r="BL118" s="226"/>
      <c r="BM118" s="226"/>
      <c r="BN118" s="226"/>
      <c r="BO118" s="226"/>
      <c r="BX118" s="226"/>
      <c r="BY118" s="226"/>
      <c r="BZ118" s="226"/>
      <c r="CA118" s="226"/>
    </row>
    <row r="119" spans="1:79" ht="12.75" thickBot="1">
      <c r="A119" s="458" t="s">
        <v>642</v>
      </c>
      <c r="B119" s="459" t="s">
        <v>759</v>
      </c>
      <c r="C119" s="779">
        <f>SUM(C118)</f>
        <v>0</v>
      </c>
      <c r="D119" s="779">
        <f t="shared" ref="D119" si="286">SUM(D118)</f>
        <v>0</v>
      </c>
      <c r="E119" s="779">
        <f t="shared" ref="E119" si="287">SUM(E118)</f>
        <v>0</v>
      </c>
      <c r="F119" s="779">
        <f t="shared" ref="F119" si="288">SUM(F118)</f>
        <v>0</v>
      </c>
      <c r="G119" s="779">
        <f t="shared" ref="G119" si="289">SUM(G118)</f>
        <v>0</v>
      </c>
      <c r="H119" s="779">
        <f t="shared" ref="H119" si="290">SUM(H118)</f>
        <v>0</v>
      </c>
      <c r="I119" s="779">
        <f t="shared" ref="I119:J119" si="291">SUM(I118)</f>
        <v>0</v>
      </c>
      <c r="J119" s="780">
        <f t="shared" si="291"/>
        <v>0</v>
      </c>
      <c r="K119" s="779">
        <f t="shared" ref="K119" si="292">SUM(K118)</f>
        <v>0</v>
      </c>
      <c r="L119" s="779">
        <f t="shared" ref="L119" si="293">SUM(L118)</f>
        <v>0</v>
      </c>
      <c r="M119" s="779">
        <f t="shared" ref="M119" si="294">SUM(M118)</f>
        <v>0</v>
      </c>
      <c r="N119" s="779">
        <f t="shared" ref="N119" si="295">SUM(N118)</f>
        <v>0</v>
      </c>
      <c r="O119" s="779">
        <f t="shared" ref="O119" si="296">SUM(O118)</f>
        <v>0</v>
      </c>
      <c r="P119" s="779">
        <f t="shared" ref="P119" si="297">SUM(P118)</f>
        <v>0</v>
      </c>
      <c r="Q119" s="779">
        <f t="shared" ref="Q119" si="298">SUM(Q118)</f>
        <v>0</v>
      </c>
      <c r="R119" s="779">
        <f t="shared" ref="R119:S119" si="299">SUM(R118)</f>
        <v>0</v>
      </c>
      <c r="S119" s="780">
        <f t="shared" si="299"/>
        <v>0</v>
      </c>
      <c r="T119" s="779">
        <f t="shared" ref="T119" si="300">SUM(T118)</f>
        <v>0</v>
      </c>
      <c r="U119" s="1086">
        <f t="shared" ref="U119" si="301">SUM(U118)</f>
        <v>0</v>
      </c>
      <c r="V119" s="780">
        <f t="shared" ref="V119" si="302">SUM(V118)</f>
        <v>0</v>
      </c>
      <c r="Z119" s="486"/>
      <c r="AA119" s="486"/>
      <c r="AB119" s="226"/>
      <c r="AD119" s="226"/>
      <c r="AE119" s="226"/>
      <c r="AL119" s="486"/>
      <c r="AM119" s="486"/>
      <c r="AN119" s="486"/>
      <c r="AO119" s="486"/>
      <c r="BL119" s="226"/>
      <c r="BM119" s="226"/>
      <c r="BN119" s="226"/>
      <c r="BO119" s="226"/>
      <c r="BX119" s="226"/>
      <c r="BY119" s="226"/>
      <c r="BZ119" s="226"/>
      <c r="CA119" s="226"/>
    </row>
    <row r="120" spans="1:79" ht="12.75" thickBot="1">
      <c r="A120" s="781">
        <f>+A118+1</f>
        <v>28</v>
      </c>
      <c r="B120" s="782" t="s">
        <v>774</v>
      </c>
      <c r="C120" s="783">
        <f>+SUMIF('13.mell_ÖNKfeladatok2019'!$B$5:$B$159,'14.mell_Önk kiegészítés2019'!$A50,'13.mell_ÖNKfeladatok2019'!P$5:P$159)</f>
        <v>0</v>
      </c>
      <c r="D120" s="783">
        <f>+SUMIF('13.mell_ÖNKfeladatok2019'!$B$5:$B$159,'14.mell_Önk kiegészítés2019'!$A50,'13.mell_ÖNKfeladatok2019'!T$5:T$159)</f>
        <v>0</v>
      </c>
      <c r="E120" s="783">
        <f>+SUMIF('13.mell_ÖNKfeladatok2019'!$B$5:$B$159,'14.mell_Önk kiegészítés2019'!$A50,'13.mell_ÖNKfeladatok2019'!X$5:X$159)</f>
        <v>0</v>
      </c>
      <c r="F120" s="783">
        <f>+SUMIF('13.mell_ÖNKfeladatok2019'!$B$5:$B$159,'14.mell_Önk kiegészítés2019'!$A50,'13.mell_ÖNKfeladatok2019'!AB$5:AB$159)</f>
        <v>0</v>
      </c>
      <c r="G120" s="783">
        <f>+SUMIF('13.mell_ÖNKfeladatok2019'!$B$5:$B$159,'14.mell_Önk kiegészítés2019'!$A50,'13.mell_ÖNKfeladatok2019'!AJ$5:AJ$159)</f>
        <v>0</v>
      </c>
      <c r="H120" s="783">
        <f>+SUMIF('13.mell_ÖNKfeladatok2019'!$B$5:$B$159,'14.mell_Önk kiegészítés2019'!$A50,'13.mell_ÖNKfeladatok2019'!AN$5:AN$159)</f>
        <v>0</v>
      </c>
      <c r="I120" s="783">
        <f>+SUMIF('13.mell_ÖNKfeladatok2019'!$B$5:$B$159,'14.mell_Önk kiegészítés2019'!$A50,'13.mell_ÖNKfeladatok2019'!AR$5:AR$159)</f>
        <v>0</v>
      </c>
      <c r="J120" s="784">
        <f>SUM(C120:I120)</f>
        <v>0</v>
      </c>
      <c r="K120" s="783">
        <f>+SUMIF('13.mell_ÖNKfeladatok2019'!$B$167:$B$321,'14.mell_Önk kiegészítés2019'!$A50,'13.mell_ÖNKfeladatok2019'!P$167:P$321)</f>
        <v>0</v>
      </c>
      <c r="L120" s="783">
        <f>+SUMIF('13.mell_ÖNKfeladatok2019'!$B$167:$B$321,'14.mell_Önk kiegészítés2019'!$A50,'13.mell_ÖNKfeladatok2019'!T$167:T$321)</f>
        <v>0</v>
      </c>
      <c r="M120" s="783">
        <f>+SUMIF('13.mell_ÖNKfeladatok2019'!$B$167:$B$321,'14.mell_Önk kiegészítés2019'!$A50,'13.mell_ÖNKfeladatok2019'!X$167:X$321)</f>
        <v>0</v>
      </c>
      <c r="N120" s="783">
        <f>+SUMIF('13.mell_ÖNKfeladatok2019'!$B$167:$B$321,'14.mell_Önk kiegészítés2019'!$A50,'13.mell_ÖNKfeladatok2019'!AB$167:AB$321)</f>
        <v>0</v>
      </c>
      <c r="O120" s="783">
        <f>+SUMIF('13.mell_ÖNKfeladatok2019'!$B$167:$B$321,'14.mell_Önk kiegészítés2019'!$A50,'13.mell_ÖNKfeladatok2019'!AF$167:AF$321)</f>
        <v>0</v>
      </c>
      <c r="P120" s="783">
        <f>+SUMIF('13.mell_ÖNKfeladatok2019'!$B$167:$B$321,'14.mell_Önk kiegészítés2019'!$A50,'13.mell_ÖNKfeladatok2019'!AN$167:AN$321)</f>
        <v>0</v>
      </c>
      <c r="Q120" s="783">
        <f>+SUMIF('13.mell_ÖNKfeladatok2019'!$B$167:$B$321,'14.mell_Önk kiegészítés2019'!$A50,'13.mell_ÖNKfeladatok2019'!AR$167:AR$321)</f>
        <v>0</v>
      </c>
      <c r="R120" s="783">
        <f>+SUMIF('13.mell_ÖNKfeladatok2019'!$B$167:$B$321,'14.mell_Önk kiegészítés2019'!$A50,'13.mell_ÖNKfeladatok2019'!AV$167:AV$321)</f>
        <v>0</v>
      </c>
      <c r="S120" s="784">
        <f>SUM(K120:R120)</f>
        <v>0</v>
      </c>
      <c r="T120" s="502">
        <f>S120-J120</f>
        <v>0</v>
      </c>
      <c r="U120" s="1085">
        <f>+ROUND(SUMIF('10.mell_támogatások2019'!$B$6:$B$137,'14.mell_Önk kiegészítés2019'!$A50,'10.mell_támogatások2019'!E$6:E$137)/1000,0)</f>
        <v>0</v>
      </c>
      <c r="V120" s="505">
        <f>+T120-U120</f>
        <v>0</v>
      </c>
      <c r="Z120" s="486"/>
      <c r="AA120" s="486"/>
      <c r="AB120" s="226"/>
      <c r="AD120" s="226"/>
      <c r="AE120" s="226"/>
      <c r="AL120" s="486"/>
      <c r="AM120" s="486"/>
      <c r="AN120" s="486"/>
      <c r="AO120" s="486"/>
      <c r="BL120" s="226"/>
      <c r="BM120" s="226"/>
      <c r="BN120" s="226"/>
      <c r="BO120" s="226"/>
      <c r="BX120" s="226"/>
      <c r="BY120" s="226"/>
      <c r="BZ120" s="226"/>
      <c r="CA120" s="226"/>
    </row>
    <row r="121" spans="1:79" ht="12.75" thickBot="1">
      <c r="A121" s="458" t="s">
        <v>758</v>
      </c>
      <c r="B121" s="459" t="s">
        <v>774</v>
      </c>
      <c r="C121" s="779">
        <f>SUM(C120)</f>
        <v>0</v>
      </c>
      <c r="D121" s="779">
        <f t="shared" ref="D121" si="303">SUM(D120)</f>
        <v>0</v>
      </c>
      <c r="E121" s="779">
        <f t="shared" ref="E121" si="304">SUM(E120)</f>
        <v>0</v>
      </c>
      <c r="F121" s="779">
        <f t="shared" ref="F121" si="305">SUM(F120)</f>
        <v>0</v>
      </c>
      <c r="G121" s="779">
        <f t="shared" ref="G121" si="306">SUM(G120)</f>
        <v>0</v>
      </c>
      <c r="H121" s="779">
        <f t="shared" ref="H121" si="307">SUM(H120)</f>
        <v>0</v>
      </c>
      <c r="I121" s="779">
        <f t="shared" ref="I121:J121" si="308">SUM(I120)</f>
        <v>0</v>
      </c>
      <c r="J121" s="780">
        <f t="shared" si="308"/>
        <v>0</v>
      </c>
      <c r="K121" s="779">
        <f t="shared" ref="K121" si="309">SUM(K120)</f>
        <v>0</v>
      </c>
      <c r="L121" s="779">
        <f t="shared" ref="L121" si="310">SUM(L120)</f>
        <v>0</v>
      </c>
      <c r="M121" s="779">
        <f t="shared" ref="M121" si="311">SUM(M120)</f>
        <v>0</v>
      </c>
      <c r="N121" s="779">
        <f t="shared" ref="N121" si="312">SUM(N120)</f>
        <v>0</v>
      </c>
      <c r="O121" s="779">
        <f t="shared" ref="O121" si="313">SUM(O120)</f>
        <v>0</v>
      </c>
      <c r="P121" s="779">
        <f t="shared" ref="P121" si="314">SUM(P120)</f>
        <v>0</v>
      </c>
      <c r="Q121" s="779">
        <f t="shared" ref="Q121" si="315">SUM(Q120)</f>
        <v>0</v>
      </c>
      <c r="R121" s="779">
        <f t="shared" ref="R121:S121" si="316">SUM(R120)</f>
        <v>0</v>
      </c>
      <c r="S121" s="780">
        <f t="shared" si="316"/>
        <v>0</v>
      </c>
      <c r="T121" s="779">
        <f t="shared" ref="T121" si="317">SUM(T120)</f>
        <v>0</v>
      </c>
      <c r="U121" s="1086">
        <f t="shared" ref="U121" si="318">SUM(U120)</f>
        <v>0</v>
      </c>
      <c r="V121" s="780">
        <f t="shared" ref="V121" si="319">SUM(V120)</f>
        <v>0</v>
      </c>
      <c r="Z121" s="486"/>
      <c r="AA121" s="486"/>
      <c r="AB121" s="226"/>
      <c r="AD121" s="226"/>
      <c r="AE121" s="226"/>
      <c r="AL121" s="486"/>
      <c r="AM121" s="486"/>
      <c r="AN121" s="486"/>
      <c r="AO121" s="486"/>
      <c r="BL121" s="226"/>
      <c r="BM121" s="226"/>
      <c r="BN121" s="226"/>
      <c r="BO121" s="226"/>
      <c r="BX121" s="226"/>
      <c r="BY121" s="226"/>
      <c r="BZ121" s="226"/>
      <c r="CA121" s="226"/>
    </row>
    <row r="122" spans="1:79" ht="12.75" thickBot="1">
      <c r="A122" s="452" t="s">
        <v>20</v>
      </c>
      <c r="B122" s="462" t="s">
        <v>423</v>
      </c>
      <c r="C122" s="511">
        <f>+C117+C119+C121</f>
        <v>800</v>
      </c>
      <c r="D122" s="512">
        <f t="shared" ref="D122" si="320">+D117+D119+D121</f>
        <v>0</v>
      </c>
      <c r="E122" s="512">
        <f t="shared" ref="E122" si="321">+E117+E119+E121</f>
        <v>676</v>
      </c>
      <c r="F122" s="512">
        <f t="shared" ref="F122" si="322">+F117+F119+F121</f>
        <v>4</v>
      </c>
      <c r="G122" s="512">
        <f t="shared" ref="G122" si="323">+G117+G119+G121</f>
        <v>0</v>
      </c>
      <c r="H122" s="512">
        <f t="shared" ref="H122" si="324">+H117+H119+H121</f>
        <v>0</v>
      </c>
      <c r="I122" s="513">
        <f t="shared" ref="I122:J122" si="325">+I117+I119+I121</f>
        <v>0</v>
      </c>
      <c r="J122" s="514">
        <f t="shared" si="325"/>
        <v>1480</v>
      </c>
      <c r="K122" s="511">
        <f t="shared" ref="K122" si="326">+K117+K119+K121</f>
        <v>25602</v>
      </c>
      <c r="L122" s="511">
        <f t="shared" ref="L122" si="327">+L117+L119+L121</f>
        <v>4809</v>
      </c>
      <c r="M122" s="511">
        <f t="shared" ref="M122" si="328">+M117+M119+M121</f>
        <v>10563</v>
      </c>
      <c r="N122" s="511">
        <f t="shared" ref="N122" si="329">+N117+N119+N121</f>
        <v>0</v>
      </c>
      <c r="O122" s="511">
        <f t="shared" ref="O122" si="330">+O117+O119+O121</f>
        <v>654</v>
      </c>
      <c r="P122" s="511">
        <f t="shared" ref="P122" si="331">+P117+P119+P121</f>
        <v>0</v>
      </c>
      <c r="Q122" s="511">
        <f t="shared" ref="Q122" si="332">+Q117+Q119+Q121</f>
        <v>0</v>
      </c>
      <c r="R122" s="511">
        <f t="shared" ref="R122:S122" si="333">+R117+R119+R121</f>
        <v>0</v>
      </c>
      <c r="S122" s="514">
        <f t="shared" si="333"/>
        <v>41628</v>
      </c>
      <c r="T122" s="511">
        <f t="shared" ref="T122" si="334">+T117+T119+T121</f>
        <v>40148</v>
      </c>
      <c r="U122" s="513">
        <f t="shared" ref="U122" si="335">+U117+U119+U121</f>
        <v>23490</v>
      </c>
      <c r="V122" s="514">
        <f t="shared" ref="V122" si="336">+V117+V119+V121</f>
        <v>16658</v>
      </c>
      <c r="Z122" s="486"/>
      <c r="AA122" s="486"/>
      <c r="AB122" s="226"/>
      <c r="AD122" s="226"/>
      <c r="AE122" s="226"/>
      <c r="AL122" s="486"/>
      <c r="AM122" s="486"/>
      <c r="AN122" s="486"/>
      <c r="AO122" s="486"/>
      <c r="BL122" s="226"/>
      <c r="BM122" s="226"/>
      <c r="BN122" s="226"/>
      <c r="BO122" s="226"/>
      <c r="BX122" s="226"/>
      <c r="BY122" s="226"/>
      <c r="BZ122" s="226"/>
      <c r="CA122" s="226"/>
    </row>
    <row r="123" spans="1:79" ht="12.75" thickBot="1">
      <c r="A123" s="473"/>
      <c r="B123" s="526"/>
      <c r="C123" s="515"/>
      <c r="D123" s="516"/>
      <c r="E123" s="516"/>
      <c r="F123" s="516"/>
      <c r="G123" s="516"/>
      <c r="H123" s="516"/>
      <c r="I123" s="517"/>
      <c r="J123" s="518"/>
      <c r="K123" s="527"/>
      <c r="L123" s="527"/>
      <c r="M123" s="527"/>
      <c r="N123" s="527"/>
      <c r="O123" s="527"/>
      <c r="P123" s="527"/>
      <c r="Q123" s="527"/>
      <c r="R123" s="527"/>
      <c r="S123" s="525"/>
      <c r="T123" s="522"/>
      <c r="U123" s="1087"/>
      <c r="V123" s="525"/>
      <c r="Z123" s="486"/>
      <c r="AA123" s="486"/>
      <c r="AB123" s="226"/>
      <c r="AD123" s="226"/>
      <c r="AE123" s="226"/>
      <c r="AL123" s="486"/>
      <c r="AM123" s="486"/>
      <c r="AN123" s="486"/>
      <c r="AO123" s="486"/>
      <c r="BL123" s="226"/>
      <c r="BM123" s="226"/>
      <c r="BN123" s="226"/>
      <c r="BO123" s="226"/>
      <c r="BX123" s="226"/>
      <c r="BY123" s="226"/>
      <c r="BZ123" s="226"/>
      <c r="CA123" s="226"/>
    </row>
    <row r="124" spans="1:79" ht="12.75" thickBot="1">
      <c r="A124" s="734">
        <f>+A120+1</f>
        <v>29</v>
      </c>
      <c r="B124" s="668" t="s">
        <v>864</v>
      </c>
      <c r="C124" s="772">
        <f>+SUMIF('13.mell_ÖNKfeladatok2019'!$B$5:$B$159,'14.mell_Önk kiegészítés2019'!$A54,'13.mell_ÖNKfeladatok2019'!P$5:P$159)</f>
        <v>0</v>
      </c>
      <c r="D124" s="772">
        <f>+SUMIF('13.mell_ÖNKfeladatok2019'!$B$5:$B$159,'14.mell_Önk kiegészítés2019'!$A54,'13.mell_ÖNKfeladatok2019'!T$5:T$159)</f>
        <v>0</v>
      </c>
      <c r="E124" s="772">
        <f>+SUMIF('13.mell_ÖNKfeladatok2019'!$B$5:$B$159,'14.mell_Önk kiegészítés2019'!$A54,'13.mell_ÖNKfeladatok2019'!X$5:X$159)</f>
        <v>0</v>
      </c>
      <c r="F124" s="772">
        <f>+SUMIF('13.mell_ÖNKfeladatok2019'!$B$5:$B$159,'14.mell_Önk kiegészítés2019'!$A54,'13.mell_ÖNKfeladatok2019'!AB$5:AB$159)</f>
        <v>0</v>
      </c>
      <c r="G124" s="772">
        <f>+SUMIF('13.mell_ÖNKfeladatok2019'!$B$5:$B$159,'14.mell_Önk kiegészítés2019'!$A54,'13.mell_ÖNKfeladatok2019'!AJ$5:AJ$159)</f>
        <v>0</v>
      </c>
      <c r="H124" s="772">
        <f>+SUMIF('13.mell_ÖNKfeladatok2019'!$B$5:$B$159,'14.mell_Önk kiegészítés2019'!$A54,'13.mell_ÖNKfeladatok2019'!AN$5:AN$159)</f>
        <v>0</v>
      </c>
      <c r="I124" s="772">
        <f>+SUMIF('13.mell_ÖNKfeladatok2019'!$B$5:$B$159,'14.mell_Önk kiegészítés2019'!$A54,'13.mell_ÖNKfeladatok2019'!AR$5:AR$159)</f>
        <v>0</v>
      </c>
      <c r="J124" s="669">
        <f>SUM(C124:I124)</f>
        <v>0</v>
      </c>
      <c r="K124" s="772">
        <f>+SUMIF('13.mell_ÖNKfeladatok2019'!$B$167:$B$321,'14.mell_Önk kiegészítés2019'!$A54,'13.mell_ÖNKfeladatok2019'!P$167:P$321)</f>
        <v>0</v>
      </c>
      <c r="L124" s="772">
        <f>+SUMIF('13.mell_ÖNKfeladatok2019'!$B$167:$B$321,'14.mell_Önk kiegészítés2019'!$A54,'13.mell_ÖNKfeladatok2019'!T$167:T$321)</f>
        <v>0</v>
      </c>
      <c r="M124" s="772">
        <f>+SUMIF('13.mell_ÖNKfeladatok2019'!$B$167:$B$321,'14.mell_Önk kiegészítés2019'!$A54,'13.mell_ÖNKfeladatok2019'!X$167:X$321)</f>
        <v>0</v>
      </c>
      <c r="N124" s="772">
        <f>+SUMIF('13.mell_ÖNKfeladatok2019'!$B$167:$B$321,'14.mell_Önk kiegészítés2019'!$A54,'13.mell_ÖNKfeladatok2019'!AB$167:AB$321)</f>
        <v>0</v>
      </c>
      <c r="O124" s="772">
        <f>+SUMIF('13.mell_ÖNKfeladatok2019'!$B$167:$B$321,'14.mell_Önk kiegészítés2019'!$A54,'13.mell_ÖNKfeladatok2019'!AF$167:AF$321)</f>
        <v>0</v>
      </c>
      <c r="P124" s="772">
        <f>+SUMIF('13.mell_ÖNKfeladatok2019'!$B$167:$B$321,'14.mell_Önk kiegészítés2019'!$A54,'13.mell_ÖNKfeladatok2019'!AN$167:AN$321)</f>
        <v>0</v>
      </c>
      <c r="Q124" s="772">
        <f>+SUMIF('13.mell_ÖNKfeladatok2019'!$B$167:$B$321,'14.mell_Önk kiegészítés2019'!$A54,'13.mell_ÖNKfeladatok2019'!AR$167:AR$321)</f>
        <v>0</v>
      </c>
      <c r="R124" s="772">
        <f>+SUMIF('13.mell_ÖNKfeladatok2019'!$B$167:$B$321,'14.mell_Önk kiegészítés2019'!$A54,'13.mell_ÖNKfeladatok2019'!AV$167:AV$321)</f>
        <v>0</v>
      </c>
      <c r="S124" s="669">
        <f>SUM(K124:R124)</f>
        <v>0</v>
      </c>
      <c r="T124" s="670">
        <f>S124-J124</f>
        <v>0</v>
      </c>
      <c r="U124" s="1082">
        <f>+ROUND(SUMIF('10.mell_támogatások2019'!$B$6:$B$137,'14.mell_Önk kiegészítés2019'!$A54,'10.mell_támogatások2019'!E$6:E$137)/1000,0)</f>
        <v>0</v>
      </c>
      <c r="V124" s="671">
        <f>+T124-U124</f>
        <v>0</v>
      </c>
      <c r="Z124" s="486"/>
      <c r="AA124" s="486"/>
      <c r="AB124" s="226"/>
      <c r="AD124" s="226"/>
      <c r="AE124" s="226"/>
      <c r="AL124" s="486"/>
      <c r="AM124" s="486"/>
      <c r="AN124" s="486"/>
      <c r="AO124" s="486"/>
      <c r="BL124" s="226"/>
      <c r="BM124" s="226"/>
      <c r="BN124" s="226"/>
      <c r="BO124" s="226"/>
      <c r="BX124" s="226"/>
      <c r="BY124" s="226"/>
      <c r="BZ124" s="226"/>
      <c r="CA124" s="226"/>
    </row>
    <row r="125" spans="1:79" ht="12.75" thickBot="1">
      <c r="A125" s="309" t="s">
        <v>889</v>
      </c>
      <c r="B125" s="450" t="s">
        <v>864</v>
      </c>
      <c r="C125" s="502">
        <f>SUM(C124)</f>
        <v>0</v>
      </c>
      <c r="D125" s="502">
        <f t="shared" ref="D125" si="337">SUM(D124)</f>
        <v>0</v>
      </c>
      <c r="E125" s="502">
        <f t="shared" ref="E125" si="338">SUM(E124)</f>
        <v>0</v>
      </c>
      <c r="F125" s="502">
        <f t="shared" ref="F125" si="339">SUM(F124)</f>
        <v>0</v>
      </c>
      <c r="G125" s="502">
        <f t="shared" ref="G125" si="340">SUM(G124)</f>
        <v>0</v>
      </c>
      <c r="H125" s="502">
        <f t="shared" ref="H125" si="341">SUM(H124)</f>
        <v>0</v>
      </c>
      <c r="I125" s="502">
        <f t="shared" ref="I125:J125" si="342">SUM(I124)</f>
        <v>0</v>
      </c>
      <c r="J125" s="505">
        <f t="shared" si="342"/>
        <v>0</v>
      </c>
      <c r="K125" s="502">
        <f t="shared" ref="K125" si="343">SUM(K124)</f>
        <v>0</v>
      </c>
      <c r="L125" s="502">
        <f t="shared" ref="L125" si="344">SUM(L124)</f>
        <v>0</v>
      </c>
      <c r="M125" s="502">
        <f t="shared" ref="M125" si="345">SUM(M124)</f>
        <v>0</v>
      </c>
      <c r="N125" s="502">
        <f t="shared" ref="N125" si="346">SUM(N124)</f>
        <v>0</v>
      </c>
      <c r="O125" s="502">
        <f t="shared" ref="O125" si="347">SUM(O124)</f>
        <v>0</v>
      </c>
      <c r="P125" s="502">
        <f t="shared" ref="P125" si="348">SUM(P124)</f>
        <v>0</v>
      </c>
      <c r="Q125" s="502">
        <f t="shared" ref="Q125" si="349">SUM(Q124)</f>
        <v>0</v>
      </c>
      <c r="R125" s="502">
        <f t="shared" ref="R125:S125" si="350">SUM(R124)</f>
        <v>0</v>
      </c>
      <c r="S125" s="505">
        <f t="shared" si="350"/>
        <v>0</v>
      </c>
      <c r="T125" s="502">
        <f t="shared" ref="T125" si="351">SUM(T124)</f>
        <v>0</v>
      </c>
      <c r="U125" s="506">
        <f t="shared" ref="U125" si="352">SUM(U124)</f>
        <v>0</v>
      </c>
      <c r="V125" s="505">
        <f t="shared" ref="V125" si="353">SUM(V124)</f>
        <v>0</v>
      </c>
      <c r="Z125" s="486"/>
      <c r="AA125" s="486"/>
      <c r="AB125" s="226"/>
      <c r="AD125" s="226"/>
      <c r="AE125" s="226"/>
      <c r="AL125" s="486"/>
      <c r="AM125" s="486"/>
      <c r="AN125" s="486"/>
      <c r="AO125" s="486"/>
      <c r="BL125" s="226"/>
      <c r="BM125" s="226"/>
      <c r="BN125" s="226"/>
      <c r="BO125" s="226"/>
      <c r="BX125" s="226"/>
      <c r="BY125" s="226"/>
      <c r="BZ125" s="226"/>
      <c r="CA125" s="226"/>
    </row>
    <row r="126" spans="1:79" ht="12.75" thickBot="1">
      <c r="A126" s="781">
        <f>+A124+1</f>
        <v>30</v>
      </c>
      <c r="B126" s="782" t="s">
        <v>1086</v>
      </c>
      <c r="C126" s="783">
        <f>+SUMIF('13.mell_ÖNKfeladatok2019'!$B$5:$B$159,'14.mell_Önk kiegészítés2019'!$A56,'13.mell_ÖNKfeladatok2019'!P$5:P$159)</f>
        <v>0</v>
      </c>
      <c r="D126" s="783">
        <f>+SUMIF('13.mell_ÖNKfeladatok2019'!$B$5:$B$159,'14.mell_Önk kiegészítés2019'!$A56,'13.mell_ÖNKfeladatok2019'!T$5:T$159)</f>
        <v>0</v>
      </c>
      <c r="E126" s="783">
        <f>+SUMIF('13.mell_ÖNKfeladatok2019'!$B$5:$B$159,'14.mell_Önk kiegészítés2019'!$A56,'13.mell_ÖNKfeladatok2019'!X$5:X$159)</f>
        <v>0</v>
      </c>
      <c r="F126" s="783">
        <f>+SUMIF('13.mell_ÖNKfeladatok2019'!$B$5:$B$159,'14.mell_Önk kiegészítés2019'!$A56,'13.mell_ÖNKfeladatok2019'!AB$5:AB$159)</f>
        <v>0</v>
      </c>
      <c r="G126" s="783">
        <f>+SUMIF('13.mell_ÖNKfeladatok2019'!$B$5:$B$159,'14.mell_Önk kiegészítés2019'!$A56,'13.mell_ÖNKfeladatok2019'!AJ$5:AJ$159)</f>
        <v>0</v>
      </c>
      <c r="H126" s="783">
        <f>+SUMIF('13.mell_ÖNKfeladatok2019'!$B$5:$B$159,'14.mell_Önk kiegészítés2019'!$A56,'13.mell_ÖNKfeladatok2019'!AN$5:AN$159)</f>
        <v>0</v>
      </c>
      <c r="I126" s="783">
        <f>+SUMIF('13.mell_ÖNKfeladatok2019'!$B$5:$B$159,'14.mell_Önk kiegészítés2019'!$A56,'13.mell_ÖNKfeladatok2019'!AR$5:AR$159)</f>
        <v>0</v>
      </c>
      <c r="J126" s="784">
        <f>SUM(C126:I126)</f>
        <v>0</v>
      </c>
      <c r="K126" s="783">
        <f>+SUMIF('13.mell_ÖNKfeladatok2019'!$B$167:$B$321,'14.mell_Önk kiegészítés2019'!$A56,'13.mell_ÖNKfeladatok2019'!P$167:P$321)</f>
        <v>7643</v>
      </c>
      <c r="L126" s="783">
        <f>+SUMIF('13.mell_ÖNKfeladatok2019'!$B$167:$B$321,'14.mell_Önk kiegészítés2019'!$A56,'13.mell_ÖNKfeladatok2019'!T$167:T$321)</f>
        <v>1373</v>
      </c>
      <c r="M126" s="783">
        <f>+SUMIF('13.mell_ÖNKfeladatok2019'!$B$167:$B$321,'14.mell_Önk kiegészítés2019'!$A56,'13.mell_ÖNKfeladatok2019'!X$167:X$321)</f>
        <v>1127</v>
      </c>
      <c r="N126" s="783">
        <f>+SUMIF('13.mell_ÖNKfeladatok2019'!$B$167:$B$321,'14.mell_Önk kiegészítés2019'!$A56,'13.mell_ÖNKfeladatok2019'!AB$167:AB$321)</f>
        <v>0</v>
      </c>
      <c r="O126" s="783">
        <f>+SUMIF('13.mell_ÖNKfeladatok2019'!$B$167:$B$321,'14.mell_Önk kiegészítés2019'!$A56,'13.mell_ÖNKfeladatok2019'!AF$167:AF$321)</f>
        <v>15</v>
      </c>
      <c r="P126" s="783">
        <f>+SUMIF('13.mell_ÖNKfeladatok2019'!$B$167:$B$321,'14.mell_Önk kiegészítés2019'!$A56,'13.mell_ÖNKfeladatok2019'!AN$167:AN$321)</f>
        <v>288</v>
      </c>
      <c r="Q126" s="783">
        <f>+SUMIF('13.mell_ÖNKfeladatok2019'!$B$167:$B$321,'14.mell_Önk kiegészítés2019'!$A56,'13.mell_ÖNKfeladatok2019'!AR$167:AR$321)</f>
        <v>0</v>
      </c>
      <c r="R126" s="783">
        <f>+SUMIF('13.mell_ÖNKfeladatok2019'!$B$167:$B$321,'14.mell_Önk kiegészítés2019'!$A56,'13.mell_ÖNKfeladatok2019'!AV$167:AV$321)</f>
        <v>0</v>
      </c>
      <c r="S126" s="784">
        <f>SUM(K126:R126)</f>
        <v>10446</v>
      </c>
      <c r="T126" s="502">
        <f>S126-J126</f>
        <v>10446</v>
      </c>
      <c r="U126" s="1085">
        <f>+ROUND(SUMIF('10.mell_támogatások2019'!$B$6:$B$137,'14.mell_Önk kiegészítés2019'!$A56,'10.mell_támogatások2019'!E$6:E$137)/1000,0)+15</f>
        <v>15</v>
      </c>
      <c r="V126" s="505">
        <f>+T126-U126</f>
        <v>10431</v>
      </c>
      <c r="Z126" s="486"/>
      <c r="AA126" s="486"/>
      <c r="AB126" s="226">
        <v>15</v>
      </c>
      <c r="AD126" s="226"/>
      <c r="AE126" s="226"/>
      <c r="AL126" s="486"/>
      <c r="AM126" s="486"/>
      <c r="AN126" s="486"/>
      <c r="AO126" s="486"/>
      <c r="BL126" s="226"/>
      <c r="BM126" s="226"/>
      <c r="BN126" s="226"/>
      <c r="BO126" s="226"/>
      <c r="BX126" s="226"/>
      <c r="BY126" s="226"/>
      <c r="BZ126" s="226"/>
      <c r="CA126" s="226"/>
    </row>
    <row r="127" spans="1:79" ht="12.75" thickBot="1">
      <c r="A127" s="458" t="s">
        <v>890</v>
      </c>
      <c r="B127" s="459" t="s">
        <v>865</v>
      </c>
      <c r="C127" s="502">
        <f>SUM(C126)</f>
        <v>0</v>
      </c>
      <c r="D127" s="502">
        <f t="shared" ref="D127" si="354">SUM(D126)</f>
        <v>0</v>
      </c>
      <c r="E127" s="502">
        <f t="shared" ref="E127" si="355">SUM(E126)</f>
        <v>0</v>
      </c>
      <c r="F127" s="502">
        <f t="shared" ref="F127" si="356">SUM(F126)</f>
        <v>0</v>
      </c>
      <c r="G127" s="502">
        <f t="shared" ref="G127" si="357">SUM(G126)</f>
        <v>0</v>
      </c>
      <c r="H127" s="502">
        <f t="shared" ref="H127" si="358">SUM(H126)</f>
        <v>0</v>
      </c>
      <c r="I127" s="502">
        <f t="shared" ref="I127:J127" si="359">SUM(I126)</f>
        <v>0</v>
      </c>
      <c r="J127" s="505">
        <f t="shared" si="359"/>
        <v>0</v>
      </c>
      <c r="K127" s="502">
        <f t="shared" ref="K127" si="360">SUM(K126)</f>
        <v>7643</v>
      </c>
      <c r="L127" s="502">
        <f t="shared" ref="L127" si="361">SUM(L126)</f>
        <v>1373</v>
      </c>
      <c r="M127" s="502">
        <f t="shared" ref="M127" si="362">SUM(M126)</f>
        <v>1127</v>
      </c>
      <c r="N127" s="502">
        <f t="shared" ref="N127" si="363">SUM(N126)</f>
        <v>0</v>
      </c>
      <c r="O127" s="502">
        <f t="shared" ref="O127" si="364">SUM(O126)</f>
        <v>15</v>
      </c>
      <c r="P127" s="502">
        <f t="shared" ref="P127" si="365">SUM(P126)</f>
        <v>288</v>
      </c>
      <c r="Q127" s="502">
        <f t="shared" ref="Q127" si="366">SUM(Q126)</f>
        <v>0</v>
      </c>
      <c r="R127" s="502">
        <f t="shared" ref="R127:S127" si="367">SUM(R126)</f>
        <v>0</v>
      </c>
      <c r="S127" s="505">
        <f t="shared" si="367"/>
        <v>10446</v>
      </c>
      <c r="T127" s="502">
        <f t="shared" ref="T127" si="368">SUM(T126)</f>
        <v>10446</v>
      </c>
      <c r="U127" s="506">
        <f t="shared" ref="U127" si="369">SUM(U126)</f>
        <v>15</v>
      </c>
      <c r="V127" s="505">
        <f t="shared" ref="V127" si="370">SUM(V126)</f>
        <v>10431</v>
      </c>
      <c r="Z127" s="486"/>
      <c r="AA127" s="486"/>
      <c r="AB127" s="226"/>
      <c r="AD127" s="226"/>
      <c r="AE127" s="226"/>
      <c r="AL127" s="486"/>
      <c r="AM127" s="486"/>
      <c r="AN127" s="486"/>
      <c r="AO127" s="486"/>
      <c r="BL127" s="226"/>
      <c r="BM127" s="226"/>
      <c r="BN127" s="226"/>
      <c r="BO127" s="226"/>
      <c r="BX127" s="226"/>
      <c r="BY127" s="226"/>
      <c r="BZ127" s="226"/>
      <c r="CA127" s="226"/>
    </row>
    <row r="128" spans="1:79" ht="12.75" thickBot="1">
      <c r="A128" s="781">
        <f>+A126+1</f>
        <v>31</v>
      </c>
      <c r="B128" s="782" t="s">
        <v>892</v>
      </c>
      <c r="C128" s="783">
        <f>+SUMIF('13.mell_ÖNKfeladatok2019'!$B$5:$B$159,'14.mell_Önk kiegészítés2019'!$A58,'13.mell_ÖNKfeladatok2019'!P$5:P$159)</f>
        <v>0</v>
      </c>
      <c r="D128" s="783">
        <f>+SUMIF('13.mell_ÖNKfeladatok2019'!$B$5:$B$159,'14.mell_Önk kiegészítés2019'!$A58,'13.mell_ÖNKfeladatok2019'!T$5:T$159)</f>
        <v>0</v>
      </c>
      <c r="E128" s="783">
        <f>+SUMIF('13.mell_ÖNKfeladatok2019'!$B$5:$B$159,'14.mell_Önk kiegészítés2019'!$A58,'13.mell_ÖNKfeladatok2019'!X$5:X$159)</f>
        <v>0</v>
      </c>
      <c r="F128" s="783">
        <f>+SUMIF('13.mell_ÖNKfeladatok2019'!$B$5:$B$159,'14.mell_Önk kiegészítés2019'!$A58,'13.mell_ÖNKfeladatok2019'!AB$5:AB$159)</f>
        <v>0</v>
      </c>
      <c r="G128" s="783">
        <f>+SUMIF('13.mell_ÖNKfeladatok2019'!$B$5:$B$159,'14.mell_Önk kiegészítés2019'!$A58,'13.mell_ÖNKfeladatok2019'!AJ$5:AJ$159)</f>
        <v>0</v>
      </c>
      <c r="H128" s="783">
        <f>+SUMIF('13.mell_ÖNKfeladatok2019'!$B$5:$B$159,'14.mell_Önk kiegészítés2019'!$A58,'13.mell_ÖNKfeladatok2019'!AN$5:AN$159)</f>
        <v>0</v>
      </c>
      <c r="I128" s="783">
        <f>+SUMIF('13.mell_ÖNKfeladatok2019'!$B$5:$B$159,'14.mell_Önk kiegészítés2019'!$A58,'13.mell_ÖNKfeladatok2019'!AR$5:AR$159)</f>
        <v>0</v>
      </c>
      <c r="J128" s="784">
        <f>SUM(C128:I128)</f>
        <v>0</v>
      </c>
      <c r="K128" s="783">
        <f>+SUMIF('13.mell_ÖNKfeladatok2019'!$B$167:$B$321,'14.mell_Önk kiegészítés2019'!$A58,'13.mell_ÖNKfeladatok2019'!P$167:P$321)</f>
        <v>0</v>
      </c>
      <c r="L128" s="783">
        <f>+SUMIF('13.mell_ÖNKfeladatok2019'!$B$167:$B$321,'14.mell_Önk kiegészítés2019'!$A58,'13.mell_ÖNKfeladatok2019'!T$167:T$321)</f>
        <v>0</v>
      </c>
      <c r="M128" s="783">
        <f>+SUMIF('13.mell_ÖNKfeladatok2019'!$B$167:$B$321,'14.mell_Önk kiegészítés2019'!$A58,'13.mell_ÖNKfeladatok2019'!X$167:X$321)</f>
        <v>0</v>
      </c>
      <c r="N128" s="783">
        <f>+SUMIF('13.mell_ÖNKfeladatok2019'!$B$167:$B$321,'14.mell_Önk kiegészítés2019'!$A58,'13.mell_ÖNKfeladatok2019'!AB$167:AB$321)</f>
        <v>0</v>
      </c>
      <c r="O128" s="783">
        <f>+SUMIF('13.mell_ÖNKfeladatok2019'!$B$167:$B$321,'14.mell_Önk kiegészítés2019'!$A58,'13.mell_ÖNKfeladatok2019'!AF$167:AF$321)</f>
        <v>0</v>
      </c>
      <c r="P128" s="783">
        <f>+SUMIF('13.mell_ÖNKfeladatok2019'!$B$167:$B$321,'14.mell_Önk kiegészítés2019'!$A58,'13.mell_ÖNKfeladatok2019'!AN$167:AN$321)</f>
        <v>0</v>
      </c>
      <c r="Q128" s="783">
        <f>+SUMIF('13.mell_ÖNKfeladatok2019'!$B$167:$B$321,'14.mell_Önk kiegészítés2019'!$A58,'13.mell_ÖNKfeladatok2019'!AR$167:AR$321)</f>
        <v>0</v>
      </c>
      <c r="R128" s="783">
        <f>+SUMIF('13.mell_ÖNKfeladatok2019'!$B$167:$B$321,'14.mell_Önk kiegészítés2019'!$A58,'13.mell_ÖNKfeladatok2019'!AV$167:AV$321)</f>
        <v>0</v>
      </c>
      <c r="S128" s="784">
        <f>SUM(K128:R128)</f>
        <v>0</v>
      </c>
      <c r="T128" s="502">
        <f>S128-J128</f>
        <v>0</v>
      </c>
      <c r="U128" s="1085">
        <f>+ROUND(SUMIF('10.mell_támogatások2019'!$B$6:$B$137,'14.mell_Önk kiegészítés2019'!$A58,'10.mell_támogatások2019'!E$6:E$137)/1000,0)</f>
        <v>0</v>
      </c>
      <c r="V128" s="505">
        <f>+T128-U128</f>
        <v>0</v>
      </c>
      <c r="Z128" s="486"/>
      <c r="AA128" s="486"/>
      <c r="AB128" s="226"/>
      <c r="AD128" s="226"/>
      <c r="AE128" s="226"/>
      <c r="AL128" s="486"/>
      <c r="AM128" s="486"/>
      <c r="AN128" s="486"/>
      <c r="AO128" s="486"/>
      <c r="BL128" s="226"/>
      <c r="BM128" s="226"/>
      <c r="BN128" s="226"/>
      <c r="BO128" s="226"/>
      <c r="BX128" s="226"/>
      <c r="BY128" s="226"/>
      <c r="BZ128" s="226"/>
      <c r="CA128" s="226"/>
    </row>
    <row r="129" spans="1:79" ht="12.75" thickBot="1">
      <c r="A129" s="458" t="s">
        <v>891</v>
      </c>
      <c r="B129" s="459" t="s">
        <v>892</v>
      </c>
      <c r="C129" s="502">
        <f>SUM(C128)</f>
        <v>0</v>
      </c>
      <c r="D129" s="502">
        <f t="shared" ref="D129" si="371">SUM(D128)</f>
        <v>0</v>
      </c>
      <c r="E129" s="502">
        <f t="shared" ref="E129" si="372">SUM(E128)</f>
        <v>0</v>
      </c>
      <c r="F129" s="502">
        <f t="shared" ref="F129" si="373">SUM(F128)</f>
        <v>0</v>
      </c>
      <c r="G129" s="502">
        <f t="shared" ref="G129" si="374">SUM(G128)</f>
        <v>0</v>
      </c>
      <c r="H129" s="502">
        <f t="shared" ref="H129" si="375">SUM(H128)</f>
        <v>0</v>
      </c>
      <c r="I129" s="502">
        <f t="shared" ref="I129:J129" si="376">SUM(I128)</f>
        <v>0</v>
      </c>
      <c r="J129" s="505">
        <f t="shared" si="376"/>
        <v>0</v>
      </c>
      <c r="K129" s="502">
        <f t="shared" ref="K129" si="377">SUM(K128)</f>
        <v>0</v>
      </c>
      <c r="L129" s="502">
        <f t="shared" ref="L129" si="378">SUM(L128)</f>
        <v>0</v>
      </c>
      <c r="M129" s="502">
        <f t="shared" ref="M129" si="379">SUM(M128)</f>
        <v>0</v>
      </c>
      <c r="N129" s="502">
        <f t="shared" ref="N129" si="380">SUM(N128)</f>
        <v>0</v>
      </c>
      <c r="O129" s="502">
        <f t="shared" ref="O129" si="381">SUM(O128)</f>
        <v>0</v>
      </c>
      <c r="P129" s="502">
        <f t="shared" ref="P129" si="382">SUM(P128)</f>
        <v>0</v>
      </c>
      <c r="Q129" s="502">
        <f t="shared" ref="Q129" si="383">SUM(Q128)</f>
        <v>0</v>
      </c>
      <c r="R129" s="502">
        <f t="shared" ref="R129:S129" si="384">SUM(R128)</f>
        <v>0</v>
      </c>
      <c r="S129" s="505">
        <f t="shared" si="384"/>
        <v>0</v>
      </c>
      <c r="T129" s="502">
        <f t="shared" ref="T129" si="385">SUM(T128)</f>
        <v>0</v>
      </c>
      <c r="U129" s="506">
        <f t="shared" ref="U129" si="386">SUM(U128)</f>
        <v>0</v>
      </c>
      <c r="V129" s="505">
        <f t="shared" ref="V129" si="387">SUM(V128)</f>
        <v>0</v>
      </c>
      <c r="Z129" s="486"/>
      <c r="AA129" s="486"/>
      <c r="AB129" s="226"/>
      <c r="AD129" s="226"/>
      <c r="AE129" s="226"/>
      <c r="AL129" s="486"/>
      <c r="AM129" s="486"/>
      <c r="AN129" s="486"/>
      <c r="AO129" s="486"/>
      <c r="BL129" s="226"/>
      <c r="BM129" s="226"/>
      <c r="BN129" s="226"/>
      <c r="BO129" s="226"/>
      <c r="BX129" s="226"/>
      <c r="BY129" s="226"/>
      <c r="BZ129" s="226"/>
      <c r="CA129" s="226"/>
    </row>
    <row r="130" spans="1:79" ht="12.75" thickBot="1">
      <c r="A130" s="452" t="s">
        <v>560</v>
      </c>
      <c r="B130" s="462" t="s">
        <v>866</v>
      </c>
      <c r="C130" s="511">
        <f>+C125+C127+C129</f>
        <v>0</v>
      </c>
      <c r="D130" s="511">
        <f t="shared" ref="D130" si="388">+D125+D127+D129</f>
        <v>0</v>
      </c>
      <c r="E130" s="511">
        <f t="shared" ref="E130" si="389">+E125+E127+E129</f>
        <v>0</v>
      </c>
      <c r="F130" s="511">
        <f t="shared" ref="F130" si="390">+F125+F127+F129</f>
        <v>0</v>
      </c>
      <c r="G130" s="511">
        <f t="shared" ref="G130" si="391">+G125+G127+G129</f>
        <v>0</v>
      </c>
      <c r="H130" s="511">
        <f t="shared" ref="H130" si="392">+H125+H127+H129</f>
        <v>0</v>
      </c>
      <c r="I130" s="511">
        <f t="shared" ref="I130:J130" si="393">+I125+I127+I129</f>
        <v>0</v>
      </c>
      <c r="J130" s="514">
        <f t="shared" si="393"/>
        <v>0</v>
      </c>
      <c r="K130" s="511">
        <f t="shared" ref="K130" si="394">+K125+K127+K129</f>
        <v>7643</v>
      </c>
      <c r="L130" s="511">
        <f t="shared" ref="L130" si="395">+L125+L127+L129</f>
        <v>1373</v>
      </c>
      <c r="M130" s="511">
        <f t="shared" ref="M130" si="396">+M125+M127+M129</f>
        <v>1127</v>
      </c>
      <c r="N130" s="511">
        <f t="shared" ref="N130" si="397">+N125+N127+N129</f>
        <v>0</v>
      </c>
      <c r="O130" s="511">
        <f t="shared" ref="O130" si="398">+O125+O127+O129</f>
        <v>15</v>
      </c>
      <c r="P130" s="511">
        <f t="shared" ref="P130" si="399">+P125+P127+P129</f>
        <v>288</v>
      </c>
      <c r="Q130" s="511">
        <f t="shared" ref="Q130" si="400">+Q125+Q127+Q129</f>
        <v>0</v>
      </c>
      <c r="R130" s="511">
        <f t="shared" ref="R130:S130" si="401">+R125+R127+R129</f>
        <v>0</v>
      </c>
      <c r="S130" s="514">
        <f t="shared" si="401"/>
        <v>10446</v>
      </c>
      <c r="T130" s="511">
        <f t="shared" ref="T130" si="402">+T125+T127+T129</f>
        <v>10446</v>
      </c>
      <c r="U130" s="513">
        <f t="shared" ref="U130" si="403">+U125+U127+U129</f>
        <v>15</v>
      </c>
      <c r="V130" s="514">
        <f t="shared" ref="V130" si="404">+V125+V127+V129</f>
        <v>10431</v>
      </c>
      <c r="Z130" s="486"/>
      <c r="AA130" s="486"/>
      <c r="AB130" s="226"/>
      <c r="AD130" s="226"/>
      <c r="AE130" s="226"/>
      <c r="AL130" s="486"/>
      <c r="AM130" s="486"/>
      <c r="AN130" s="486"/>
      <c r="AO130" s="486"/>
      <c r="BL130" s="226"/>
      <c r="BM130" s="226"/>
      <c r="BN130" s="226"/>
      <c r="BO130" s="226"/>
      <c r="BX130" s="226"/>
      <c r="BY130" s="226"/>
      <c r="BZ130" s="226"/>
      <c r="CA130" s="226"/>
    </row>
    <row r="131" spans="1:79" ht="12.75" thickBot="1">
      <c r="A131" s="473"/>
      <c r="B131" s="526"/>
      <c r="C131" s="515"/>
      <c r="D131" s="516"/>
      <c r="E131" s="516"/>
      <c r="F131" s="516"/>
      <c r="G131" s="516"/>
      <c r="H131" s="516"/>
      <c r="I131" s="517"/>
      <c r="J131" s="518"/>
      <c r="K131" s="527"/>
      <c r="L131" s="527"/>
      <c r="M131" s="527"/>
      <c r="N131" s="527"/>
      <c r="O131" s="527"/>
      <c r="P131" s="527"/>
      <c r="Q131" s="527"/>
      <c r="R131" s="527"/>
      <c r="S131" s="525"/>
      <c r="T131" s="522"/>
      <c r="U131" s="1087"/>
      <c r="V131" s="525"/>
      <c r="Z131" s="486"/>
      <c r="AA131" s="486"/>
      <c r="AB131" s="226"/>
      <c r="AD131" s="226"/>
      <c r="AE131" s="226"/>
      <c r="AL131" s="486"/>
      <c r="AM131" s="486"/>
      <c r="AN131" s="486"/>
      <c r="AO131" s="486"/>
      <c r="BL131" s="226"/>
      <c r="BM131" s="226"/>
      <c r="BN131" s="226"/>
      <c r="BO131" s="226"/>
      <c r="BX131" s="226"/>
      <c r="BY131" s="226"/>
      <c r="BZ131" s="226"/>
      <c r="CA131" s="226"/>
    </row>
    <row r="132" spans="1:79" ht="12.75" thickBot="1">
      <c r="A132" s="734">
        <f>+A128+1</f>
        <v>32</v>
      </c>
      <c r="B132" s="668" t="s">
        <v>1169</v>
      </c>
      <c r="C132" s="772">
        <f>+SUMIF('13.mell_ÖNKfeladatok2019'!$B$5:$B$159,'14.mell_Önk kiegészítés2019'!$A62,'13.mell_ÖNKfeladatok2019'!P$5:P$159)</f>
        <v>0</v>
      </c>
      <c r="D132" s="772">
        <f>+SUMIF('13.mell_ÖNKfeladatok2019'!$B$5:$B$159,'14.mell_Önk kiegészítés2019'!$A62,'13.mell_ÖNKfeladatok2019'!T$5:T$159)</f>
        <v>0</v>
      </c>
      <c r="E132" s="772">
        <f>+SUMIF('13.mell_ÖNKfeladatok2019'!$B$5:$B$159,'14.mell_Önk kiegészítés2019'!$A62,'13.mell_ÖNKfeladatok2019'!X$5:X$159)</f>
        <v>0</v>
      </c>
      <c r="F132" s="772">
        <f>+SUMIF('13.mell_ÖNKfeladatok2019'!$B$5:$B$159,'14.mell_Önk kiegészítés2019'!$A62,'13.mell_ÖNKfeladatok2019'!AB$5:AB$159)</f>
        <v>0</v>
      </c>
      <c r="G132" s="772">
        <f>+SUMIF('13.mell_ÖNKfeladatok2019'!$B$5:$B$159,'14.mell_Önk kiegészítés2019'!$A62,'13.mell_ÖNKfeladatok2019'!AJ$5:AJ$159)</f>
        <v>0</v>
      </c>
      <c r="H132" s="772">
        <f>+SUMIF('13.mell_ÖNKfeladatok2019'!$B$5:$B$159,'14.mell_Önk kiegészítés2019'!$A62,'13.mell_ÖNKfeladatok2019'!AN$5:AN$159)</f>
        <v>0</v>
      </c>
      <c r="I132" s="772">
        <f>+SUMIF('13.mell_ÖNKfeladatok2019'!$B$5:$B$159,'14.mell_Önk kiegészítés2019'!$A62,'13.mell_ÖNKfeladatok2019'!AR$5:AR$159)</f>
        <v>0</v>
      </c>
      <c r="J132" s="669">
        <f>SUM(C132:I132)</f>
        <v>0</v>
      </c>
      <c r="K132" s="772">
        <f>+SUMIF('13.mell_ÖNKfeladatok2019'!$B$167:$B$321,'14.mell_Önk kiegészítés2019'!$A62,'13.mell_ÖNKfeladatok2019'!P$167:P$321)</f>
        <v>58638</v>
      </c>
      <c r="L132" s="772">
        <f>+SUMIF('13.mell_ÖNKfeladatok2019'!$B$167:$B$321,'14.mell_Önk kiegészítés2019'!$A62,'13.mell_ÖNKfeladatok2019'!T$167:T$321)</f>
        <v>10844</v>
      </c>
      <c r="M132" s="772">
        <f>+SUMIF('13.mell_ÖNKfeladatok2019'!$B$167:$B$321,'14.mell_Önk kiegészítés2019'!$A62,'13.mell_ÖNKfeladatok2019'!X$167:X$321)</f>
        <v>6474</v>
      </c>
      <c r="N132" s="772">
        <f>+SUMIF('13.mell_ÖNKfeladatok2019'!$B$167:$B$321,'14.mell_Önk kiegészítés2019'!$A62,'13.mell_ÖNKfeladatok2019'!AB$167:AB$321)</f>
        <v>0</v>
      </c>
      <c r="O132" s="772">
        <f>+SUMIF('13.mell_ÖNKfeladatok2019'!$B$167:$B$321,'14.mell_Önk kiegészítés2019'!$A62,'13.mell_ÖNKfeladatok2019'!AF$167:AF$321)</f>
        <v>147</v>
      </c>
      <c r="P132" s="772">
        <f>+SUMIF('13.mell_ÖNKfeladatok2019'!$B$167:$B$321,'14.mell_Önk kiegészítés2019'!$A62,'13.mell_ÖNKfeladatok2019'!AN$167:AN$321)</f>
        <v>37646</v>
      </c>
      <c r="Q132" s="772">
        <f>+SUMIF('13.mell_ÖNKfeladatok2019'!$B$167:$B$321,'14.mell_Önk kiegészítés2019'!$A62,'13.mell_ÖNKfeladatok2019'!AR$167:AR$321)</f>
        <v>4509</v>
      </c>
      <c r="R132" s="772">
        <f>+SUMIF('13.mell_ÖNKfeladatok2019'!$B$167:$B$321,'14.mell_Önk kiegészítés2019'!$A62,'13.mell_ÖNKfeladatok2019'!AV$167:AV$321)</f>
        <v>0</v>
      </c>
      <c r="S132" s="669">
        <f>SUM(K132:R132)</f>
        <v>118258</v>
      </c>
      <c r="T132" s="670">
        <f>S132-J132</f>
        <v>118258</v>
      </c>
      <c r="U132" s="1082">
        <f>+ROUND(SUMIF('10.mell_támogatások2019'!$B$6:$B$137,'14.mell_Önk kiegészítés2019'!$A62,'10.mell_támogatások2019'!E$6:E$137)/1000,0)+147+494</f>
        <v>88874</v>
      </c>
      <c r="V132" s="671">
        <f>+T132-U132</f>
        <v>29384</v>
      </c>
      <c r="Z132" s="486"/>
      <c r="AA132" s="486"/>
      <c r="AB132" s="226">
        <v>147</v>
      </c>
      <c r="AD132" s="226"/>
      <c r="AE132" s="226">
        <f>((0+(201+39))+(72+13))+(108+19)+42</f>
        <v>494</v>
      </c>
      <c r="AL132" s="486"/>
      <c r="AM132" s="486"/>
      <c r="AN132" s="486"/>
      <c r="AO132" s="486"/>
      <c r="BL132" s="226"/>
      <c r="BM132" s="226"/>
      <c r="BN132" s="226"/>
      <c r="BO132" s="226"/>
      <c r="BX132" s="226"/>
      <c r="BY132" s="226"/>
      <c r="BZ132" s="226"/>
      <c r="CA132" s="226"/>
    </row>
    <row r="133" spans="1:79" ht="12.75" thickBot="1">
      <c r="A133" s="309" t="s">
        <v>1157</v>
      </c>
      <c r="B133" s="450" t="s">
        <v>1109</v>
      </c>
      <c r="C133" s="502">
        <f t="shared" ref="C133" si="405">SUM(C132)</f>
        <v>0</v>
      </c>
      <c r="D133" s="502">
        <f t="shared" ref="D133" si="406">SUM(D132)</f>
        <v>0</v>
      </c>
      <c r="E133" s="502">
        <f t="shared" ref="E133" si="407">SUM(E132)</f>
        <v>0</v>
      </c>
      <c r="F133" s="502">
        <f t="shared" ref="F133" si="408">SUM(F132)</f>
        <v>0</v>
      </c>
      <c r="G133" s="502">
        <f t="shared" ref="G133" si="409">SUM(G132)</f>
        <v>0</v>
      </c>
      <c r="H133" s="502">
        <f t="shared" ref="H133" si="410">SUM(H132)</f>
        <v>0</v>
      </c>
      <c r="I133" s="502">
        <f t="shared" ref="I133:J133" si="411">SUM(I132)</f>
        <v>0</v>
      </c>
      <c r="J133" s="505">
        <f t="shared" si="411"/>
        <v>0</v>
      </c>
      <c r="K133" s="502">
        <f t="shared" ref="K133" si="412">SUM(K132)</f>
        <v>58638</v>
      </c>
      <c r="L133" s="502">
        <f t="shared" ref="L133" si="413">SUM(L132)</f>
        <v>10844</v>
      </c>
      <c r="M133" s="502">
        <f t="shared" ref="M133" si="414">SUM(M132)</f>
        <v>6474</v>
      </c>
      <c r="N133" s="502">
        <f t="shared" ref="N133" si="415">SUM(N132)</f>
        <v>0</v>
      </c>
      <c r="O133" s="502">
        <f t="shared" ref="O133" si="416">SUM(O132)</f>
        <v>147</v>
      </c>
      <c r="P133" s="502">
        <f t="shared" ref="P133" si="417">SUM(P132)</f>
        <v>37646</v>
      </c>
      <c r="Q133" s="502">
        <f t="shared" ref="Q133" si="418">SUM(Q132)</f>
        <v>4509</v>
      </c>
      <c r="R133" s="502">
        <f t="shared" ref="R133:S133" si="419">SUM(R132)</f>
        <v>0</v>
      </c>
      <c r="S133" s="505">
        <f t="shared" si="419"/>
        <v>118258</v>
      </c>
      <c r="T133" s="502">
        <f t="shared" ref="T133" si="420">SUM(T132)</f>
        <v>118258</v>
      </c>
      <c r="U133" s="506">
        <f t="shared" ref="U133" si="421">SUM(U132)</f>
        <v>88874</v>
      </c>
      <c r="V133" s="505">
        <f t="shared" ref="V133" si="422">SUM(V132)</f>
        <v>29384</v>
      </c>
      <c r="Z133" s="486"/>
      <c r="AA133" s="486"/>
      <c r="AB133" s="226"/>
      <c r="AD133" s="226"/>
      <c r="AE133" s="226"/>
      <c r="AL133" s="486"/>
      <c r="AM133" s="486"/>
      <c r="AN133" s="486"/>
      <c r="AO133" s="486"/>
      <c r="BL133" s="226"/>
      <c r="BM133" s="226"/>
      <c r="BN133" s="226"/>
      <c r="BO133" s="226"/>
      <c r="BX133" s="226"/>
      <c r="BY133" s="226"/>
      <c r="BZ133" s="226"/>
      <c r="CA133" s="226"/>
    </row>
    <row r="134" spans="1:79" ht="12.75" thickBot="1">
      <c r="A134" s="781">
        <f>+A132+1</f>
        <v>33</v>
      </c>
      <c r="B134" s="782" t="s">
        <v>1111</v>
      </c>
      <c r="C134" s="783">
        <f>+SUMIF('13.mell_ÖNKfeladatok2019'!$B$5:$B$159,'14.mell_Önk kiegészítés2019'!$A64,'13.mell_ÖNKfeladatok2019'!P$5:P$159)</f>
        <v>0</v>
      </c>
      <c r="D134" s="783">
        <f>+SUMIF('13.mell_ÖNKfeladatok2019'!$B$5:$B$159,'14.mell_Önk kiegészítés2019'!$A64,'13.mell_ÖNKfeladatok2019'!T$5:T$159)</f>
        <v>0</v>
      </c>
      <c r="E134" s="783">
        <f>+SUMIF('13.mell_ÖNKfeladatok2019'!$B$5:$B$159,'14.mell_Önk kiegészítés2019'!$A64,'13.mell_ÖNKfeladatok2019'!X$5:X$159)</f>
        <v>0</v>
      </c>
      <c r="F134" s="783">
        <f>+SUMIF('13.mell_ÖNKfeladatok2019'!$B$5:$B$159,'14.mell_Önk kiegészítés2019'!$A64,'13.mell_ÖNKfeladatok2019'!AB$5:AB$159)</f>
        <v>0</v>
      </c>
      <c r="G134" s="783">
        <f>+SUMIF('13.mell_ÖNKfeladatok2019'!$B$5:$B$159,'14.mell_Önk kiegészítés2019'!$A64,'13.mell_ÖNKfeladatok2019'!AJ$5:AJ$159)</f>
        <v>0</v>
      </c>
      <c r="H134" s="783">
        <f>+SUMIF('13.mell_ÖNKfeladatok2019'!$B$5:$B$159,'14.mell_Önk kiegészítés2019'!$A64,'13.mell_ÖNKfeladatok2019'!AN$5:AN$159)</f>
        <v>0</v>
      </c>
      <c r="I134" s="783">
        <f>+SUMIF('13.mell_ÖNKfeladatok2019'!$B$5:$B$159,'14.mell_Önk kiegészítés2019'!$A64,'13.mell_ÖNKfeladatok2019'!AR$5:AR$159)</f>
        <v>0</v>
      </c>
      <c r="J134" s="784">
        <f>SUM(C134:I134)</f>
        <v>0</v>
      </c>
      <c r="K134" s="783">
        <f>+SUMIF('13.mell_ÖNKfeladatok2019'!$B$167:$B$321,'14.mell_Önk kiegészítés2019'!$A64,'13.mell_ÖNKfeladatok2019'!P$167:P$321)</f>
        <v>0</v>
      </c>
      <c r="L134" s="783">
        <f>+SUMIF('13.mell_ÖNKfeladatok2019'!$B$167:$B$321,'14.mell_Önk kiegészítés2019'!$A64,'13.mell_ÖNKfeladatok2019'!T$167:T$321)</f>
        <v>0</v>
      </c>
      <c r="M134" s="783">
        <f>+SUMIF('13.mell_ÖNKfeladatok2019'!$B$167:$B$321,'14.mell_Önk kiegészítés2019'!$A64,'13.mell_ÖNKfeladatok2019'!X$167:X$321)</f>
        <v>0</v>
      </c>
      <c r="N134" s="783">
        <f>+SUMIF('13.mell_ÖNKfeladatok2019'!$B$167:$B$321,'14.mell_Önk kiegészítés2019'!$A64,'13.mell_ÖNKfeladatok2019'!AB$167:AB$321)</f>
        <v>0</v>
      </c>
      <c r="O134" s="783">
        <f>+SUMIF('13.mell_ÖNKfeladatok2019'!$B$167:$B$321,'14.mell_Önk kiegészítés2019'!$A64,'13.mell_ÖNKfeladatok2019'!AF$167:AF$321)</f>
        <v>0</v>
      </c>
      <c r="P134" s="783">
        <f>+SUMIF('13.mell_ÖNKfeladatok2019'!$B$167:$B$321,'14.mell_Önk kiegészítés2019'!$A64,'13.mell_ÖNKfeladatok2019'!AN$167:AN$321)</f>
        <v>0</v>
      </c>
      <c r="Q134" s="783">
        <f>+SUMIF('13.mell_ÖNKfeladatok2019'!$B$167:$B$321,'14.mell_Önk kiegészítés2019'!$A64,'13.mell_ÖNKfeladatok2019'!AR$167:AR$321)</f>
        <v>0</v>
      </c>
      <c r="R134" s="783">
        <f>+SUMIF('13.mell_ÖNKfeladatok2019'!$B$167:$B$321,'14.mell_Önk kiegészítés2019'!$A64,'13.mell_ÖNKfeladatok2019'!AV$167:AV$321)</f>
        <v>0</v>
      </c>
      <c r="S134" s="784">
        <f>SUM(K134:R134)</f>
        <v>0</v>
      </c>
      <c r="T134" s="502">
        <f>S134-J134</f>
        <v>0</v>
      </c>
      <c r="U134" s="1085">
        <f>+ROUND(SUMIF('10.mell_támogatások2019'!$B$6:$B$137,'14.mell_Önk kiegészítés2019'!$A64,'10.mell_támogatások2019'!E$6:E$137)/1000,0)</f>
        <v>0</v>
      </c>
      <c r="V134" s="505">
        <f>+T134-U134</f>
        <v>0</v>
      </c>
      <c r="Z134" s="486"/>
      <c r="AA134" s="486"/>
      <c r="AB134" s="226"/>
      <c r="AD134" s="226"/>
      <c r="AE134" s="226"/>
      <c r="AL134" s="486"/>
      <c r="AM134" s="486"/>
      <c r="AN134" s="486"/>
      <c r="AO134" s="486"/>
      <c r="BL134" s="226"/>
      <c r="BM134" s="226"/>
      <c r="BN134" s="226"/>
      <c r="BO134" s="226"/>
      <c r="BX134" s="226"/>
      <c r="BY134" s="226"/>
      <c r="BZ134" s="226"/>
      <c r="CA134" s="226"/>
    </row>
    <row r="135" spans="1:79" ht="12.75" thickBot="1">
      <c r="A135" s="458" t="s">
        <v>1158</v>
      </c>
      <c r="B135" s="459" t="s">
        <v>1110</v>
      </c>
      <c r="C135" s="502">
        <f t="shared" ref="C135" si="423">SUM(C134)</f>
        <v>0</v>
      </c>
      <c r="D135" s="502">
        <f t="shared" ref="D135" si="424">SUM(D134)</f>
        <v>0</v>
      </c>
      <c r="E135" s="502">
        <f t="shared" ref="E135" si="425">SUM(E134)</f>
        <v>0</v>
      </c>
      <c r="F135" s="502">
        <f t="shared" ref="F135" si="426">SUM(F134)</f>
        <v>0</v>
      </c>
      <c r="G135" s="502">
        <f t="shared" ref="G135" si="427">SUM(G134)</f>
        <v>0</v>
      </c>
      <c r="H135" s="502">
        <f t="shared" ref="H135" si="428">SUM(H134)</f>
        <v>0</v>
      </c>
      <c r="I135" s="502">
        <f t="shared" ref="I135:J135" si="429">SUM(I134)</f>
        <v>0</v>
      </c>
      <c r="J135" s="505">
        <f t="shared" si="429"/>
        <v>0</v>
      </c>
      <c r="K135" s="502">
        <f t="shared" ref="K135" si="430">SUM(K134)</f>
        <v>0</v>
      </c>
      <c r="L135" s="502">
        <f t="shared" ref="L135" si="431">SUM(L134)</f>
        <v>0</v>
      </c>
      <c r="M135" s="502">
        <f t="shared" ref="M135" si="432">SUM(M134)</f>
        <v>0</v>
      </c>
      <c r="N135" s="502">
        <f t="shared" ref="N135" si="433">SUM(N134)</f>
        <v>0</v>
      </c>
      <c r="O135" s="502">
        <f t="shared" ref="O135" si="434">SUM(O134)</f>
        <v>0</v>
      </c>
      <c r="P135" s="502">
        <f t="shared" ref="P135" si="435">SUM(P134)</f>
        <v>0</v>
      </c>
      <c r="Q135" s="502">
        <f t="shared" ref="Q135" si="436">SUM(Q134)</f>
        <v>0</v>
      </c>
      <c r="R135" s="502">
        <f t="shared" ref="R135:S135" si="437">SUM(R134)</f>
        <v>0</v>
      </c>
      <c r="S135" s="505">
        <f t="shared" si="437"/>
        <v>0</v>
      </c>
      <c r="T135" s="502">
        <f t="shared" ref="T135" si="438">SUM(T134)</f>
        <v>0</v>
      </c>
      <c r="U135" s="506">
        <f t="shared" ref="U135" si="439">SUM(U134)</f>
        <v>0</v>
      </c>
      <c r="V135" s="505">
        <f t="shared" ref="V135" si="440">SUM(V134)</f>
        <v>0</v>
      </c>
      <c r="Z135" s="486"/>
      <c r="AA135" s="486"/>
      <c r="AB135" s="226"/>
      <c r="AD135" s="226"/>
      <c r="AE135" s="226"/>
      <c r="AL135" s="486"/>
      <c r="AM135" s="486"/>
      <c r="AN135" s="486"/>
      <c r="AO135" s="486"/>
      <c r="BL135" s="226"/>
      <c r="BM135" s="226"/>
      <c r="BN135" s="226"/>
      <c r="BO135" s="226"/>
      <c r="BX135" s="226"/>
      <c r="BY135" s="226"/>
      <c r="BZ135" s="226"/>
      <c r="CA135" s="226"/>
    </row>
    <row r="136" spans="1:79" ht="12.75" thickBot="1">
      <c r="A136" s="781">
        <f>+A134+1</f>
        <v>34</v>
      </c>
      <c r="B136" s="782" t="s">
        <v>1111</v>
      </c>
      <c r="C136" s="783">
        <f>+SUMIF('13.mell_ÖNKfeladatok2019'!$B$5:$B$159,'14.mell_Önk kiegészítés2019'!$A66,'13.mell_ÖNKfeladatok2019'!P$5:P$159)</f>
        <v>0</v>
      </c>
      <c r="D136" s="783">
        <f>+SUMIF('13.mell_ÖNKfeladatok2019'!$B$5:$B$159,'14.mell_Önk kiegészítés2019'!$A66,'13.mell_ÖNKfeladatok2019'!T$5:T$159)</f>
        <v>0</v>
      </c>
      <c r="E136" s="783">
        <f>+SUMIF('13.mell_ÖNKfeladatok2019'!$B$5:$B$159,'14.mell_Önk kiegészítés2019'!$A66,'13.mell_ÖNKfeladatok2019'!X$5:X$159)</f>
        <v>0</v>
      </c>
      <c r="F136" s="783">
        <f>+SUMIF('13.mell_ÖNKfeladatok2019'!$B$5:$B$159,'14.mell_Önk kiegészítés2019'!$A66,'13.mell_ÖNKfeladatok2019'!AB$5:AB$159)</f>
        <v>0</v>
      </c>
      <c r="G136" s="783">
        <f>+SUMIF('13.mell_ÖNKfeladatok2019'!$B$5:$B$159,'14.mell_Önk kiegészítés2019'!$A66,'13.mell_ÖNKfeladatok2019'!AJ$5:AJ$159)</f>
        <v>0</v>
      </c>
      <c r="H136" s="783">
        <f>+SUMIF('13.mell_ÖNKfeladatok2019'!$B$5:$B$159,'14.mell_Önk kiegészítés2019'!$A66,'13.mell_ÖNKfeladatok2019'!AN$5:AN$159)</f>
        <v>0</v>
      </c>
      <c r="I136" s="783">
        <f>+SUMIF('13.mell_ÖNKfeladatok2019'!$B$5:$B$159,'14.mell_Önk kiegészítés2019'!$A66,'13.mell_ÖNKfeladatok2019'!AR$5:AR$159)</f>
        <v>0</v>
      </c>
      <c r="J136" s="784">
        <f>SUM(C136:I136)</f>
        <v>0</v>
      </c>
      <c r="K136" s="783">
        <f>+SUMIF('13.mell_ÖNKfeladatok2019'!$B$167:$B$321,'14.mell_Önk kiegészítés2019'!$A66,'13.mell_ÖNKfeladatok2019'!P$167:P$321)</f>
        <v>0</v>
      </c>
      <c r="L136" s="783">
        <f>+SUMIF('13.mell_ÖNKfeladatok2019'!$B$167:$B$321,'14.mell_Önk kiegészítés2019'!$A66,'13.mell_ÖNKfeladatok2019'!T$167:T$321)</f>
        <v>0</v>
      </c>
      <c r="M136" s="783">
        <f>+SUMIF('13.mell_ÖNKfeladatok2019'!$B$167:$B$321,'14.mell_Önk kiegészítés2019'!$A66,'13.mell_ÖNKfeladatok2019'!X$167:X$321)</f>
        <v>0</v>
      </c>
      <c r="N136" s="783">
        <f>+SUMIF('13.mell_ÖNKfeladatok2019'!$B$167:$B$321,'14.mell_Önk kiegészítés2019'!$A66,'13.mell_ÖNKfeladatok2019'!AB$167:AB$321)</f>
        <v>0</v>
      </c>
      <c r="O136" s="783">
        <f>+SUMIF('13.mell_ÖNKfeladatok2019'!$B$167:$B$321,'14.mell_Önk kiegészítés2019'!$A66,'13.mell_ÖNKfeladatok2019'!AF$167:AF$321)</f>
        <v>0</v>
      </c>
      <c r="P136" s="783">
        <f>+SUMIF('13.mell_ÖNKfeladatok2019'!$B$167:$B$321,'14.mell_Önk kiegészítés2019'!$A66,'13.mell_ÖNKfeladatok2019'!AN$167:AN$321)</f>
        <v>0</v>
      </c>
      <c r="Q136" s="783">
        <f>+SUMIF('13.mell_ÖNKfeladatok2019'!$B$167:$B$321,'14.mell_Önk kiegészítés2019'!$A66,'13.mell_ÖNKfeladatok2019'!AR$167:AR$321)</f>
        <v>0</v>
      </c>
      <c r="R136" s="783">
        <f>+SUMIF('13.mell_ÖNKfeladatok2019'!$B$167:$B$321,'14.mell_Önk kiegészítés2019'!$A66,'13.mell_ÖNKfeladatok2019'!AV$167:AV$321)</f>
        <v>0</v>
      </c>
      <c r="S136" s="784">
        <f>SUM(K136:R136)</f>
        <v>0</v>
      </c>
      <c r="T136" s="502">
        <f>S136-J136</f>
        <v>0</v>
      </c>
      <c r="U136" s="1085">
        <f>+ROUND(SUMIF('10.mell_támogatások2019'!$B$6:$B$137,'14.mell_Önk kiegészítés2019'!$A66,'10.mell_támogatások2019'!E$6:E$137)/1000,0)</f>
        <v>0</v>
      </c>
      <c r="V136" s="505">
        <f>+T136-U136</f>
        <v>0</v>
      </c>
      <c r="Z136" s="486"/>
      <c r="AA136" s="486"/>
      <c r="AB136" s="226"/>
      <c r="AD136" s="226"/>
      <c r="AE136" s="226"/>
      <c r="AL136" s="486"/>
      <c r="AM136" s="486"/>
      <c r="AN136" s="486"/>
      <c r="AO136" s="486"/>
      <c r="BL136" s="226"/>
      <c r="BM136" s="226"/>
      <c r="BN136" s="226"/>
      <c r="BO136" s="226"/>
      <c r="BX136" s="226"/>
      <c r="BY136" s="226"/>
      <c r="BZ136" s="226"/>
      <c r="CA136" s="226"/>
    </row>
    <row r="137" spans="1:79" ht="24.75" thickBot="1">
      <c r="A137" s="458" t="s">
        <v>1159</v>
      </c>
      <c r="B137" s="459" t="s">
        <v>1111</v>
      </c>
      <c r="C137" s="502">
        <f t="shared" ref="C137" si="441">SUM(C136)</f>
        <v>0</v>
      </c>
      <c r="D137" s="502">
        <f t="shared" ref="D137" si="442">SUM(D136)</f>
        <v>0</v>
      </c>
      <c r="E137" s="502">
        <f t="shared" ref="E137" si="443">SUM(E136)</f>
        <v>0</v>
      </c>
      <c r="F137" s="502">
        <f t="shared" ref="F137" si="444">SUM(F136)</f>
        <v>0</v>
      </c>
      <c r="G137" s="502">
        <f t="shared" ref="G137" si="445">SUM(G136)</f>
        <v>0</v>
      </c>
      <c r="H137" s="502">
        <f t="shared" ref="H137" si="446">SUM(H136)</f>
        <v>0</v>
      </c>
      <c r="I137" s="502">
        <f t="shared" ref="I137:J137" si="447">SUM(I136)</f>
        <v>0</v>
      </c>
      <c r="J137" s="505">
        <f t="shared" si="447"/>
        <v>0</v>
      </c>
      <c r="K137" s="502">
        <f t="shared" ref="K137" si="448">SUM(K136)</f>
        <v>0</v>
      </c>
      <c r="L137" s="502">
        <f t="shared" ref="L137" si="449">SUM(L136)</f>
        <v>0</v>
      </c>
      <c r="M137" s="502">
        <f t="shared" ref="M137" si="450">SUM(M136)</f>
        <v>0</v>
      </c>
      <c r="N137" s="502">
        <f t="shared" ref="N137" si="451">SUM(N136)</f>
        <v>0</v>
      </c>
      <c r="O137" s="502">
        <f t="shared" ref="O137" si="452">SUM(O136)</f>
        <v>0</v>
      </c>
      <c r="P137" s="502">
        <f t="shared" ref="P137" si="453">SUM(P136)</f>
        <v>0</v>
      </c>
      <c r="Q137" s="502">
        <f t="shared" ref="Q137" si="454">SUM(Q136)</f>
        <v>0</v>
      </c>
      <c r="R137" s="502">
        <f t="shared" ref="R137:S137" si="455">SUM(R136)</f>
        <v>0</v>
      </c>
      <c r="S137" s="505">
        <f t="shared" si="455"/>
        <v>0</v>
      </c>
      <c r="T137" s="502">
        <f t="shared" ref="T137" si="456">SUM(T136)</f>
        <v>0</v>
      </c>
      <c r="U137" s="506">
        <f t="shared" ref="U137" si="457">SUM(U136)</f>
        <v>0</v>
      </c>
      <c r="V137" s="505">
        <f t="shared" ref="V137" si="458">SUM(V136)</f>
        <v>0</v>
      </c>
      <c r="Z137" s="486"/>
      <c r="AA137" s="486"/>
      <c r="AB137" s="226"/>
      <c r="AD137" s="226"/>
      <c r="AE137" s="226"/>
      <c r="AL137" s="486"/>
      <c r="AM137" s="486"/>
      <c r="AN137" s="486"/>
      <c r="AO137" s="486"/>
      <c r="BL137" s="226"/>
      <c r="BM137" s="226"/>
      <c r="BN137" s="226"/>
      <c r="BO137" s="226"/>
      <c r="BX137" s="226"/>
      <c r="BY137" s="226"/>
      <c r="BZ137" s="226"/>
      <c r="CA137" s="226"/>
    </row>
    <row r="138" spans="1:79" ht="12.75" thickBot="1">
      <c r="A138" s="452" t="s">
        <v>42</v>
      </c>
      <c r="B138" s="462" t="s">
        <v>1112</v>
      </c>
      <c r="C138" s="511">
        <f t="shared" ref="C138" si="459">+C133+C135+C137</f>
        <v>0</v>
      </c>
      <c r="D138" s="511">
        <f t="shared" ref="D138" si="460">+D133+D135+D137</f>
        <v>0</v>
      </c>
      <c r="E138" s="511">
        <f t="shared" ref="E138" si="461">+E133+E135+E137</f>
        <v>0</v>
      </c>
      <c r="F138" s="511">
        <f t="shared" ref="F138" si="462">+F133+F135+F137</f>
        <v>0</v>
      </c>
      <c r="G138" s="511">
        <f t="shared" ref="G138" si="463">+G133+G135+G137</f>
        <v>0</v>
      </c>
      <c r="H138" s="511">
        <f t="shared" ref="H138" si="464">+H133+H135+H137</f>
        <v>0</v>
      </c>
      <c r="I138" s="511">
        <f t="shared" ref="I138:J138" si="465">+I133+I135+I137</f>
        <v>0</v>
      </c>
      <c r="J138" s="514">
        <f t="shared" si="465"/>
        <v>0</v>
      </c>
      <c r="K138" s="511">
        <f t="shared" ref="K138" si="466">+K133+K135+K137</f>
        <v>58638</v>
      </c>
      <c r="L138" s="511">
        <f t="shared" ref="L138" si="467">+L133+L135+L137</f>
        <v>10844</v>
      </c>
      <c r="M138" s="511">
        <f t="shared" ref="M138" si="468">+M133+M135+M137</f>
        <v>6474</v>
      </c>
      <c r="N138" s="511">
        <f t="shared" ref="N138" si="469">+N133+N135+N137</f>
        <v>0</v>
      </c>
      <c r="O138" s="511">
        <f t="shared" ref="O138" si="470">+O133+O135+O137</f>
        <v>147</v>
      </c>
      <c r="P138" s="511">
        <f t="shared" ref="P138" si="471">+P133+P135+P137</f>
        <v>37646</v>
      </c>
      <c r="Q138" s="511">
        <f t="shared" ref="Q138" si="472">+Q133+Q135+Q137</f>
        <v>4509</v>
      </c>
      <c r="R138" s="511">
        <f t="shared" ref="R138:S138" si="473">+R133+R135+R137</f>
        <v>0</v>
      </c>
      <c r="S138" s="514">
        <f t="shared" si="473"/>
        <v>118258</v>
      </c>
      <c r="T138" s="511">
        <f t="shared" ref="T138" si="474">+T133+T135+T137</f>
        <v>118258</v>
      </c>
      <c r="U138" s="513">
        <f t="shared" ref="U138" si="475">+U133+U135+U137</f>
        <v>88874</v>
      </c>
      <c r="V138" s="514">
        <f t="shared" ref="V138" si="476">+V133+V135+V137</f>
        <v>29384</v>
      </c>
      <c r="Z138" s="486"/>
      <c r="AA138" s="486"/>
      <c r="AB138" s="226"/>
      <c r="AD138" s="226"/>
      <c r="AE138" s="226"/>
      <c r="AL138" s="486"/>
      <c r="AM138" s="486"/>
      <c r="AN138" s="486"/>
      <c r="AO138" s="486"/>
      <c r="BL138" s="226"/>
      <c r="BM138" s="226"/>
      <c r="BN138" s="226"/>
      <c r="BO138" s="226"/>
      <c r="BX138" s="226"/>
      <c r="BY138" s="226"/>
      <c r="BZ138" s="226"/>
      <c r="CA138" s="226"/>
    </row>
    <row r="139" spans="1:79" ht="12.75" thickBot="1">
      <c r="A139" s="473"/>
      <c r="B139" s="526"/>
      <c r="C139" s="515"/>
      <c r="D139" s="516"/>
      <c r="E139" s="516"/>
      <c r="F139" s="516"/>
      <c r="G139" s="516"/>
      <c r="H139" s="516"/>
      <c r="I139" s="517"/>
      <c r="J139" s="518"/>
      <c r="K139" s="527"/>
      <c r="L139" s="527"/>
      <c r="M139" s="527"/>
      <c r="N139" s="527"/>
      <c r="O139" s="527"/>
      <c r="P139" s="527"/>
      <c r="Q139" s="527"/>
      <c r="R139" s="527"/>
      <c r="S139" s="525"/>
      <c r="T139" s="522"/>
      <c r="U139" s="1087"/>
      <c r="V139" s="525"/>
      <c r="Z139" s="486"/>
      <c r="AA139" s="486"/>
      <c r="AB139" s="226"/>
      <c r="AD139" s="226"/>
      <c r="AE139" s="226"/>
      <c r="AL139" s="486"/>
      <c r="AM139" s="486"/>
      <c r="AN139" s="486"/>
      <c r="AO139" s="486"/>
      <c r="BL139" s="226"/>
      <c r="BM139" s="226"/>
      <c r="BN139" s="226"/>
      <c r="BO139" s="226"/>
      <c r="BX139" s="226"/>
      <c r="BY139" s="226"/>
      <c r="BZ139" s="226"/>
      <c r="CA139" s="226"/>
    </row>
    <row r="140" spans="1:79" ht="12.75" thickBot="1">
      <c r="A140" s="509" t="s">
        <v>41</v>
      </c>
      <c r="B140" s="510" t="s">
        <v>776</v>
      </c>
      <c r="C140" s="511">
        <f t="shared" ref="C140" si="477">+C90+C102+C112+C122+C130+C138</f>
        <v>1466167</v>
      </c>
      <c r="D140" s="511">
        <f t="shared" ref="D140" si="478">+D90+D102+D112+D122+D130+D138</f>
        <v>541722</v>
      </c>
      <c r="E140" s="511">
        <f t="shared" ref="E140" si="479">+E90+E102+E112+E122+E130+E138</f>
        <v>161795</v>
      </c>
      <c r="F140" s="511">
        <f t="shared" ref="F140" si="480">+F90+F102+F112+F122+F130+F138</f>
        <v>54816</v>
      </c>
      <c r="G140" s="511">
        <f t="shared" ref="G140" si="481">+G90+G102+G112+G122+G130+G138</f>
        <v>1215708</v>
      </c>
      <c r="H140" s="511">
        <f t="shared" ref="H140" si="482">+H90+H102+H112+H122+H130+H138</f>
        <v>4878</v>
      </c>
      <c r="I140" s="511">
        <f t="shared" ref="I140:J140" si="483">+I90+I102+I112+I122+I130+I138</f>
        <v>6552</v>
      </c>
      <c r="J140" s="514">
        <f t="shared" si="483"/>
        <v>3451638</v>
      </c>
      <c r="K140" s="528">
        <f t="shared" ref="K140" si="484">+K90+K102+K112+K122+K130+K138</f>
        <v>930589</v>
      </c>
      <c r="L140" s="528">
        <f t="shared" ref="L140" si="485">+L90+L102+L112+L122+L130+L138</f>
        <v>178765</v>
      </c>
      <c r="M140" s="528">
        <f t="shared" ref="M140" si="486">+M90+M102+M112+M122+M130+M138</f>
        <v>834328</v>
      </c>
      <c r="N140" s="528">
        <f t="shared" ref="N140" si="487">+N90+N102+N112+N122+N130+N138</f>
        <v>43459</v>
      </c>
      <c r="O140" s="528">
        <f t="shared" ref="O140" si="488">+O90+O102+O112+O122+O130+O138</f>
        <v>3217954</v>
      </c>
      <c r="P140" s="528">
        <f t="shared" ref="P140" si="489">+P90+P102+P112+P122+P130+P138</f>
        <v>931483</v>
      </c>
      <c r="Q140" s="528">
        <f t="shared" ref="Q140" si="490">+Q90+Q102+Q112+Q122+Q130+Q138</f>
        <v>419698</v>
      </c>
      <c r="R140" s="528">
        <f t="shared" ref="R140:S140" si="491">+R90+R102+R112+R122+R130+R138</f>
        <v>18</v>
      </c>
      <c r="S140" s="529">
        <f t="shared" si="491"/>
        <v>6556294</v>
      </c>
      <c r="T140" s="528">
        <f t="shared" ref="T140" si="492">+T90+T102+T112+T122+T130+T138</f>
        <v>3104656</v>
      </c>
      <c r="U140" s="1088">
        <f t="shared" ref="U140" si="493">+U90+U102+U112+U122+U130+U138</f>
        <v>3138867</v>
      </c>
      <c r="V140" s="529">
        <f t="shared" ref="V140" si="494">+V90+V102+V112+V122+V130+V138</f>
        <v>-34211</v>
      </c>
      <c r="Z140" s="486"/>
      <c r="AA140" s="486"/>
      <c r="AB140" s="226"/>
      <c r="AD140" s="226"/>
      <c r="AE140" s="226"/>
      <c r="AL140" s="486"/>
      <c r="AM140" s="486"/>
      <c r="AN140" s="486"/>
      <c r="AO140" s="486"/>
      <c r="BL140" s="226"/>
      <c r="BM140" s="226"/>
      <c r="BN140" s="226"/>
      <c r="BO140" s="226"/>
      <c r="BX140" s="226"/>
      <c r="BY140" s="226"/>
      <c r="BZ140" s="226"/>
      <c r="CA140" s="226"/>
    </row>
    <row r="141" spans="1:79" ht="12.75" thickBot="1">
      <c r="A141" s="538" t="s">
        <v>37</v>
      </c>
      <c r="B141" s="530" t="s">
        <v>777</v>
      </c>
      <c r="C141" s="531"/>
      <c r="D141" s="531"/>
      <c r="E141" s="531"/>
      <c r="F141" s="531">
        <f>+'1.mell._Össz_Mérleg2019'!$D$71</f>
        <v>704310</v>
      </c>
      <c r="G141" s="531"/>
      <c r="H141" s="531"/>
      <c r="I141" s="531">
        <f>+'1.mell._Össz_Mérleg2019'!$D$86</f>
        <v>2492294</v>
      </c>
      <c r="J141" s="537">
        <f>SUM(C141:I141)</f>
        <v>3196604</v>
      </c>
      <c r="K141" s="531"/>
      <c r="L141" s="531"/>
      <c r="M141" s="531"/>
      <c r="N141" s="531"/>
      <c r="O141" s="531">
        <f>+'1.mell._Össz_Mérleg2019'!$D$177</f>
        <v>91948</v>
      </c>
      <c r="P141" s="531"/>
      <c r="Q141" s="531"/>
      <c r="R141" s="531">
        <f>+'1.mell._Össz_Mérleg2019'!$D$192</f>
        <v>0</v>
      </c>
      <c r="S141" s="537">
        <f>SUM(K141:R141)</f>
        <v>91948</v>
      </c>
      <c r="T141" s="531">
        <f>S141-J141</f>
        <v>-3104656</v>
      </c>
      <c r="U141" s="1089">
        <v>-3138867</v>
      </c>
      <c r="V141" s="532">
        <f>+T141-U141</f>
        <v>34211</v>
      </c>
      <c r="Z141" s="486"/>
      <c r="AA141" s="486"/>
      <c r="AB141" s="226">
        <v>-3138867</v>
      </c>
      <c r="AD141" s="226"/>
      <c r="AE141" s="226"/>
      <c r="AL141" s="486"/>
      <c r="AM141" s="486"/>
      <c r="AN141" s="486"/>
      <c r="AO141" s="486"/>
      <c r="BL141" s="226"/>
      <c r="BM141" s="226"/>
      <c r="BN141" s="226"/>
      <c r="BO141" s="226"/>
      <c r="BX141" s="226"/>
      <c r="BY141" s="226"/>
      <c r="BZ141" s="226"/>
      <c r="CA141" s="226"/>
    </row>
    <row r="142" spans="1:79" ht="12.75" thickBot="1">
      <c r="A142" s="509" t="s">
        <v>1163</v>
      </c>
      <c r="B142" s="510" t="s">
        <v>778</v>
      </c>
      <c r="C142" s="511">
        <f>+C140+C141</f>
        <v>1466167</v>
      </c>
      <c r="D142" s="511">
        <f t="shared" ref="D142" si="495">+D140+D141</f>
        <v>541722</v>
      </c>
      <c r="E142" s="511">
        <f t="shared" ref="E142" si="496">+E140+E141</f>
        <v>161795</v>
      </c>
      <c r="F142" s="511">
        <f t="shared" ref="F142" si="497">+F140+F141</f>
        <v>759126</v>
      </c>
      <c r="G142" s="511">
        <f t="shared" ref="G142" si="498">+G140+G141</f>
        <v>1215708</v>
      </c>
      <c r="H142" s="511">
        <f t="shared" ref="H142" si="499">+H140+H141</f>
        <v>4878</v>
      </c>
      <c r="I142" s="511">
        <f t="shared" ref="I142" si="500">+I140+I141</f>
        <v>2498846</v>
      </c>
      <c r="J142" s="514">
        <f>+J140+J141</f>
        <v>6648242</v>
      </c>
      <c r="K142" s="511">
        <f t="shared" ref="K142" si="501">+K140+K141</f>
        <v>930589</v>
      </c>
      <c r="L142" s="511">
        <f t="shared" ref="L142" si="502">+L140+L141</f>
        <v>178765</v>
      </c>
      <c r="M142" s="511">
        <f t="shared" ref="M142" si="503">+M140+M141</f>
        <v>834328</v>
      </c>
      <c r="N142" s="511">
        <f t="shared" ref="N142" si="504">+N140+N141</f>
        <v>43459</v>
      </c>
      <c r="O142" s="511">
        <f t="shared" ref="O142" si="505">+O140+O141</f>
        <v>3309902</v>
      </c>
      <c r="P142" s="511">
        <f t="shared" ref="P142" si="506">+P140+P141</f>
        <v>931483</v>
      </c>
      <c r="Q142" s="511">
        <f t="shared" ref="Q142" si="507">+Q140+Q141</f>
        <v>419698</v>
      </c>
      <c r="R142" s="511">
        <f t="shared" ref="R142:S142" si="508">+R140+R141</f>
        <v>18</v>
      </c>
      <c r="S142" s="514">
        <f t="shared" si="508"/>
        <v>6648242</v>
      </c>
      <c r="T142" s="511">
        <f t="shared" ref="T142" si="509">+T140+T141</f>
        <v>0</v>
      </c>
      <c r="U142" s="513">
        <f t="shared" ref="U142" si="510">+U140+U141</f>
        <v>0</v>
      </c>
      <c r="V142" s="514">
        <f t="shared" ref="V142" si="511">+V140+V141</f>
        <v>0</v>
      </c>
      <c r="Z142" s="486"/>
      <c r="AA142" s="486"/>
      <c r="AB142" s="226"/>
      <c r="AD142" s="226"/>
      <c r="AE142" s="226"/>
      <c r="AL142" s="486"/>
      <c r="AM142" s="486"/>
      <c r="AN142" s="486"/>
      <c r="AO142" s="486"/>
      <c r="BL142" s="226"/>
      <c r="BM142" s="226"/>
      <c r="BN142" s="226"/>
      <c r="BO142" s="226"/>
      <c r="BX142" s="226"/>
      <c r="BY142" s="226"/>
      <c r="BZ142" s="226"/>
      <c r="CA142" s="226"/>
    </row>
    <row r="144" spans="1:79" ht="12.75" thickBot="1">
      <c r="V144" s="203" t="s">
        <v>458</v>
      </c>
    </row>
    <row r="145" spans="1:79" ht="72.75" thickBot="1">
      <c r="A145" s="786" t="s">
        <v>17</v>
      </c>
      <c r="B145" s="787" t="s">
        <v>2661</v>
      </c>
      <c r="C145" s="788" t="s">
        <v>769</v>
      </c>
      <c r="D145" s="320" t="s">
        <v>526</v>
      </c>
      <c r="E145" s="320" t="s">
        <v>770</v>
      </c>
      <c r="F145" s="320" t="s">
        <v>1164</v>
      </c>
      <c r="G145" s="320" t="s">
        <v>533</v>
      </c>
      <c r="H145" s="320" t="s">
        <v>534</v>
      </c>
      <c r="I145" s="319" t="s">
        <v>1165</v>
      </c>
      <c r="J145" s="260" t="s">
        <v>525</v>
      </c>
      <c r="K145" s="788" t="s">
        <v>46</v>
      </c>
      <c r="L145" s="320" t="s">
        <v>447</v>
      </c>
      <c r="M145" s="320" t="s">
        <v>448</v>
      </c>
      <c r="N145" s="320" t="s">
        <v>772</v>
      </c>
      <c r="O145" s="320" t="s">
        <v>1166</v>
      </c>
      <c r="P145" s="320" t="s">
        <v>451</v>
      </c>
      <c r="Q145" s="320" t="s">
        <v>452</v>
      </c>
      <c r="R145" s="255" t="s">
        <v>1167</v>
      </c>
      <c r="S145" s="260" t="s">
        <v>528</v>
      </c>
      <c r="T145" s="789" t="s">
        <v>762</v>
      </c>
      <c r="U145" s="1078" t="s">
        <v>1255</v>
      </c>
      <c r="V145" s="488" t="s">
        <v>763</v>
      </c>
      <c r="AA145" s="489" t="s">
        <v>1077</v>
      </c>
      <c r="AB145" s="489" t="s">
        <v>1052</v>
      </c>
      <c r="AC145" s="489" t="s">
        <v>1253</v>
      </c>
      <c r="AD145" s="489" t="s">
        <v>1172</v>
      </c>
      <c r="AE145" s="489" t="s">
        <v>1171</v>
      </c>
      <c r="AF145" s="489" t="s">
        <v>1170</v>
      </c>
      <c r="AG145" s="489" t="s">
        <v>1174</v>
      </c>
      <c r="AH145" s="489" t="s">
        <v>1175</v>
      </c>
      <c r="AI145" s="489" t="s">
        <v>1254</v>
      </c>
      <c r="AS145" s="486"/>
      <c r="AT145" s="486"/>
      <c r="AU145" s="486"/>
      <c r="AV145" s="486"/>
      <c r="BE145" s="486"/>
      <c r="BF145" s="486"/>
      <c r="BG145" s="486"/>
      <c r="BH145" s="486"/>
      <c r="BL145" s="226"/>
      <c r="BM145" s="226"/>
      <c r="BN145" s="226"/>
      <c r="BO145" s="226"/>
      <c r="BX145" s="226"/>
      <c r="BY145" s="226"/>
      <c r="BZ145" s="226"/>
      <c r="CA145" s="226"/>
    </row>
    <row r="146" spans="1:79">
      <c r="A146" s="734">
        <v>1</v>
      </c>
      <c r="B146" s="668" t="s">
        <v>415</v>
      </c>
      <c r="C146" s="491">
        <f>+SUMIF('13.mell_ÖNKfeladatok2019'!$B$5:$B$159,'14.mell_Önk kiegészítés2019'!$A6,'13.mell_ÖNKfeladatok2019'!Q$5:Q$159)</f>
        <v>0</v>
      </c>
      <c r="D146" s="491">
        <f>+SUMIF('13.mell_ÖNKfeladatok2019'!$B$5:$B$159,'14.mell_Önk kiegészítés2019'!$A6,'13.mell_ÖNKfeladatok2019'!U$5:U$159)</f>
        <v>0</v>
      </c>
      <c r="E146" s="491">
        <f>+SUMIF('13.mell_ÖNKfeladatok2019'!$B$5:$B$159,'14.mell_Önk kiegészítés2019'!$A6,'13.mell_ÖNKfeladatok2019'!Y$5:Y$159)</f>
        <v>0</v>
      </c>
      <c r="F146" s="491">
        <f>+SUMIF('13.mell_ÖNKfeladatok2019'!$B$5:$B$159,'14.mell_Önk kiegészítés2019'!$A6,'13.mell_ÖNKfeladatok2019'!AC$5:AC$159)</f>
        <v>0</v>
      </c>
      <c r="G146" s="491">
        <f>+SUMIF('13.mell_ÖNKfeladatok2019'!$B$5:$B$159,'14.mell_Önk kiegészítés2019'!$A6,'13.mell_ÖNKfeladatok2019'!AK$5:AK$159)</f>
        <v>0</v>
      </c>
      <c r="H146" s="491">
        <f>+SUMIF('13.mell_ÖNKfeladatok2019'!$B$5:$B$159,'14.mell_Önk kiegészítés2019'!$A6,'13.mell_ÖNKfeladatok2019'!AO$5:AO$159)</f>
        <v>0</v>
      </c>
      <c r="I146" s="491">
        <f>+SUMIF('13.mell_ÖNKfeladatok2019'!$B$5:$B$159,'14.mell_Önk kiegészítés2019'!$A6,'13.mell_ÖNKfeladatok2019'!AS$5:AS$159)</f>
        <v>0</v>
      </c>
      <c r="J146" s="669">
        <f t="shared" ref="J146:J153" si="512">SUM(C146:I146)</f>
        <v>0</v>
      </c>
      <c r="K146" s="491">
        <f>+SUMIF('13.mell_ÖNKfeladatok2019'!$B$167:$B$321,'14.mell_Önk kiegészítés2019'!$A6,'13.mell_ÖNKfeladatok2019'!Q$167:Q$321)</f>
        <v>35432</v>
      </c>
      <c r="L146" s="491">
        <f>+SUMIF('13.mell_ÖNKfeladatok2019'!$B$167:$B$321,'14.mell_Önk kiegészítés2019'!$A6,'13.mell_ÖNKfeladatok2019'!U$167:U$321)</f>
        <v>6171</v>
      </c>
      <c r="M146" s="491">
        <f>+SUMIF('13.mell_ÖNKfeladatok2019'!$B$167:$B$321,'14.mell_Önk kiegészítés2019'!$A6,'13.mell_ÖNKfeladatok2019'!Y$167:Y$321)</f>
        <v>0</v>
      </c>
      <c r="N146" s="491">
        <f>+SUMIF('13.mell_ÖNKfeladatok2019'!$B$167:$B$321,'14.mell_Önk kiegészítés2019'!$A6,'13.mell_ÖNKfeladatok2019'!AC$167:AC$321)</f>
        <v>0</v>
      </c>
      <c r="O146" s="491">
        <f>+SUMIF('13.mell_ÖNKfeladatok2019'!$B$167:$B$321,'14.mell_Önk kiegészítés2019'!$A6,'13.mell_ÖNKfeladatok2019'!AG$167:AG$321)</f>
        <v>0</v>
      </c>
      <c r="P146" s="491">
        <f>+SUMIF('13.mell_ÖNKfeladatok2019'!$B$167:$B$321,'14.mell_Önk kiegészítés2019'!$A6,'13.mell_ÖNKfeladatok2019'!AO$167:AO$321)</f>
        <v>0</v>
      </c>
      <c r="Q146" s="491">
        <f>+SUMIF('13.mell_ÖNKfeladatok2019'!$B$167:$B$321,'14.mell_Önk kiegészítés2019'!$A6,'13.mell_ÖNKfeladatok2019'!AS$167:AS$321)</f>
        <v>0</v>
      </c>
      <c r="R146" s="491">
        <f>+SUMIF('13.mell_ÖNKfeladatok2019'!$B$167:$B$321,'14.mell_Önk kiegészítés2019'!$A6,'13.mell_ÖNKfeladatok2019'!AW$167:AW$321)</f>
        <v>0</v>
      </c>
      <c r="S146" s="669">
        <f t="shared" ref="S146:S153" si="513">SUM(K146:R146)</f>
        <v>41603</v>
      </c>
      <c r="T146" s="670">
        <f t="shared" ref="T146:T153" si="514">S146-J146</f>
        <v>41603</v>
      </c>
      <c r="U146" s="491">
        <f>+ROUND(SUMIF('10.mell_támogatások2019'!$B$6:$B$137,'14.mell_Önk kiegészítés2019'!$A6,'10.mell_támogatások2019'!F$6:F$137)/1000,0)</f>
        <v>1961</v>
      </c>
      <c r="V146" s="671">
        <f t="shared" ref="V146:V153" si="515">+T146-U146</f>
        <v>39642</v>
      </c>
      <c r="AB146" s="226"/>
      <c r="AC146" s="226"/>
      <c r="AD146" s="226"/>
      <c r="AE146" s="226"/>
      <c r="AS146" s="486"/>
      <c r="AT146" s="486"/>
      <c r="AU146" s="486"/>
      <c r="AV146" s="486"/>
      <c r="BE146" s="486"/>
      <c r="BF146" s="486"/>
      <c r="BG146" s="486"/>
      <c r="BH146" s="486"/>
      <c r="BL146" s="226"/>
      <c r="BM146" s="226"/>
      <c r="BN146" s="226"/>
      <c r="BO146" s="226"/>
      <c r="BX146" s="226"/>
      <c r="BY146" s="226"/>
      <c r="BZ146" s="226"/>
      <c r="CA146" s="226"/>
    </row>
    <row r="147" spans="1:79">
      <c r="A147" s="735">
        <f>+A146+1</f>
        <v>2</v>
      </c>
      <c r="B147" s="490" t="s">
        <v>658</v>
      </c>
      <c r="C147" s="491">
        <f>+SUMIF('13.mell_ÖNKfeladatok2019'!$B$5:$B$159,'14.mell_Önk kiegészítés2019'!$A7,'13.mell_ÖNKfeladatok2019'!Q$5:Q$159)</f>
        <v>0</v>
      </c>
      <c r="D147" s="491">
        <f>+SUMIF('13.mell_ÖNKfeladatok2019'!$B$5:$B$159,'14.mell_Önk kiegészítés2019'!$A7,'13.mell_ÖNKfeladatok2019'!U$5:U$159)</f>
        <v>0</v>
      </c>
      <c r="E147" s="491">
        <f>+SUMIF('13.mell_ÖNKfeladatok2019'!$B$5:$B$159,'14.mell_Önk kiegészítés2019'!$A7,'13.mell_ÖNKfeladatok2019'!Y$5:Y$159)</f>
        <v>10</v>
      </c>
      <c r="F147" s="491">
        <f>+SUMIF('13.mell_ÖNKfeladatok2019'!$B$5:$B$159,'14.mell_Önk kiegészítés2019'!$A7,'13.mell_ÖNKfeladatok2019'!AC$5:AC$159)</f>
        <v>0</v>
      </c>
      <c r="G147" s="491">
        <f>+SUMIF('13.mell_ÖNKfeladatok2019'!$B$5:$B$159,'14.mell_Önk kiegészítés2019'!$A7,'13.mell_ÖNKfeladatok2019'!AK$5:AK$159)</f>
        <v>0</v>
      </c>
      <c r="H147" s="491">
        <f>+SUMIF('13.mell_ÖNKfeladatok2019'!$B$5:$B$159,'14.mell_Önk kiegészítés2019'!$A7,'13.mell_ÖNKfeladatok2019'!AO$5:AO$159)</f>
        <v>0</v>
      </c>
      <c r="I147" s="491">
        <f>+SUMIF('13.mell_ÖNKfeladatok2019'!$B$5:$B$159,'14.mell_Önk kiegészítés2019'!$A7,'13.mell_ÖNKfeladatok2019'!AS$5:AS$159)</f>
        <v>0</v>
      </c>
      <c r="J147" s="533">
        <f t="shared" si="512"/>
        <v>10</v>
      </c>
      <c r="K147" s="491">
        <f>+SUMIF('13.mell_ÖNKfeladatok2019'!$B$167:$B$321,'14.mell_Önk kiegészítés2019'!$A7,'13.mell_ÖNKfeladatok2019'!Q$167:Q$321)</f>
        <v>0</v>
      </c>
      <c r="L147" s="491">
        <f>+SUMIF('13.mell_ÖNKfeladatok2019'!$B$167:$B$321,'14.mell_Önk kiegészítés2019'!$A7,'13.mell_ÖNKfeladatok2019'!U$167:U$321)</f>
        <v>0</v>
      </c>
      <c r="M147" s="491">
        <f>+SUMIF('13.mell_ÖNKfeladatok2019'!$B$167:$B$321,'14.mell_Önk kiegészítés2019'!$A7,'13.mell_ÖNKfeladatok2019'!Y$167:Y$321)</f>
        <v>1418</v>
      </c>
      <c r="N147" s="491">
        <f>+SUMIF('13.mell_ÖNKfeladatok2019'!$B$167:$B$321,'14.mell_Önk kiegészítés2019'!$A7,'13.mell_ÖNKfeladatok2019'!AC$167:AC$321)</f>
        <v>0</v>
      </c>
      <c r="O147" s="491">
        <f>+SUMIF('13.mell_ÖNKfeladatok2019'!$B$167:$B$321,'14.mell_Önk kiegészítés2019'!$A7,'13.mell_ÖNKfeladatok2019'!AG$167:AG$321)</f>
        <v>0</v>
      </c>
      <c r="P147" s="491">
        <f>+SUMIF('13.mell_ÖNKfeladatok2019'!$B$167:$B$321,'14.mell_Önk kiegészítés2019'!$A7,'13.mell_ÖNKfeladatok2019'!AO$167:AO$321)</f>
        <v>0</v>
      </c>
      <c r="Q147" s="491">
        <f>+SUMIF('13.mell_ÖNKfeladatok2019'!$B$167:$B$321,'14.mell_Önk kiegészítés2019'!$A7,'13.mell_ÖNKfeladatok2019'!AS$167:AS$321)</f>
        <v>1557</v>
      </c>
      <c r="R147" s="491">
        <f>+SUMIF('13.mell_ÖNKfeladatok2019'!$B$167:$B$321,'14.mell_Önk kiegészítés2019'!$A7,'13.mell_ÖNKfeladatok2019'!AW$167:AW$321)</f>
        <v>0</v>
      </c>
      <c r="S147" s="533">
        <f t="shared" si="513"/>
        <v>2975</v>
      </c>
      <c r="T147" s="492">
        <f t="shared" si="514"/>
        <v>2965</v>
      </c>
      <c r="U147" s="1079">
        <f>+ROUND(SUMIF('10.mell_támogatások2019'!$B$6:$B$137,'14.mell_Önk kiegészítés2019'!$A7,'10.mell_támogatások2019'!F$6:F$137)/1000,0)</f>
        <v>3460</v>
      </c>
      <c r="V147" s="493">
        <f t="shared" si="515"/>
        <v>-495</v>
      </c>
      <c r="AB147" s="226"/>
      <c r="AC147" s="226"/>
      <c r="AD147" s="226"/>
      <c r="AE147" s="226"/>
      <c r="AS147" s="486"/>
      <c r="AT147" s="486"/>
      <c r="AU147" s="486"/>
      <c r="AV147" s="486"/>
      <c r="BE147" s="486"/>
      <c r="BF147" s="486"/>
      <c r="BG147" s="486"/>
      <c r="BH147" s="486"/>
      <c r="BL147" s="226"/>
      <c r="BM147" s="226"/>
      <c r="BN147" s="226"/>
      <c r="BO147" s="226"/>
      <c r="BX147" s="226"/>
      <c r="BY147" s="226"/>
      <c r="BZ147" s="226"/>
      <c r="CA147" s="226"/>
    </row>
    <row r="148" spans="1:79">
      <c r="A148" s="735">
        <f>+A147+1</f>
        <v>3</v>
      </c>
      <c r="B148" s="494" t="s">
        <v>653</v>
      </c>
      <c r="C148" s="495">
        <f>+SUMIF('13.mell_ÖNKfeladatok2019'!$B$5:$B$159,'14.mell_Önk kiegészítés2019'!$A8,'13.mell_ÖNKfeladatok2019'!Q$5:Q$159)</f>
        <v>0</v>
      </c>
      <c r="D148" s="495">
        <f>+SUMIF('13.mell_ÖNKfeladatok2019'!$B$5:$B$159,'14.mell_Önk kiegészítés2019'!$A8,'13.mell_ÖNKfeladatok2019'!U$5:U$159)</f>
        <v>0</v>
      </c>
      <c r="E148" s="495">
        <f>+SUMIF('13.mell_ÖNKfeladatok2019'!$B$5:$B$159,'14.mell_Önk kiegészítés2019'!$A8,'13.mell_ÖNKfeladatok2019'!Y$5:Y$159)</f>
        <v>0</v>
      </c>
      <c r="F148" s="495">
        <f>+SUMIF('13.mell_ÖNKfeladatok2019'!$B$5:$B$159,'14.mell_Önk kiegészítés2019'!$A8,'13.mell_ÖNKfeladatok2019'!AC$5:AC$159)</f>
        <v>0</v>
      </c>
      <c r="G148" s="491">
        <f>+SUMIF('13.mell_ÖNKfeladatok2019'!$B$5:$B$159,'14.mell_Önk kiegészítés2019'!$A8,'13.mell_ÖNKfeladatok2019'!AK$5:AK$159)</f>
        <v>0</v>
      </c>
      <c r="H148" s="495">
        <f>+SUMIF('13.mell_ÖNKfeladatok2019'!$B$5:$B$159,'14.mell_Önk kiegészítés2019'!$A8,'13.mell_ÖNKfeladatok2019'!AO$5:AO$159)</f>
        <v>0</v>
      </c>
      <c r="I148" s="495">
        <f>+SUMIF('13.mell_ÖNKfeladatok2019'!$B$5:$B$159,'14.mell_Önk kiegészítés2019'!$A8,'13.mell_ÖNKfeladatok2019'!AS$5:AS$159)</f>
        <v>0</v>
      </c>
      <c r="J148" s="534">
        <f t="shared" si="512"/>
        <v>0</v>
      </c>
      <c r="K148" s="495">
        <f>+SUMIF('13.mell_ÖNKfeladatok2019'!$B$167:$B$321,'14.mell_Önk kiegészítés2019'!$A8,'13.mell_ÖNKfeladatok2019'!Q$167:Q$321)</f>
        <v>0</v>
      </c>
      <c r="L148" s="495">
        <f>+SUMIF('13.mell_ÖNKfeladatok2019'!$B$167:$B$321,'14.mell_Önk kiegészítés2019'!$A8,'13.mell_ÖNKfeladatok2019'!U$167:U$321)</f>
        <v>0</v>
      </c>
      <c r="M148" s="495">
        <f>+SUMIF('13.mell_ÖNKfeladatok2019'!$B$167:$B$321,'14.mell_Önk kiegészítés2019'!$A8,'13.mell_ÖNKfeladatok2019'!Y$167:Y$321)</f>
        <v>25301</v>
      </c>
      <c r="N148" s="495">
        <f>+SUMIF('13.mell_ÖNKfeladatok2019'!$B$167:$B$321,'14.mell_Önk kiegészítés2019'!$A8,'13.mell_ÖNKfeladatok2019'!AC$167:AC$321)</f>
        <v>0</v>
      </c>
      <c r="O148" s="495">
        <f>+SUMIF('13.mell_ÖNKfeladatok2019'!$B$167:$B$321,'14.mell_Önk kiegészítés2019'!$A8,'13.mell_ÖNKfeladatok2019'!AG$167:AG$321)</f>
        <v>0</v>
      </c>
      <c r="P148" s="495">
        <f>+SUMIF('13.mell_ÖNKfeladatok2019'!$B$167:$B$321,'14.mell_Önk kiegészítés2019'!$A8,'13.mell_ÖNKfeladatok2019'!AO$167:AO$321)</f>
        <v>0</v>
      </c>
      <c r="Q148" s="495">
        <f>+SUMIF('13.mell_ÖNKfeladatok2019'!$B$167:$B$321,'14.mell_Önk kiegészítés2019'!$A8,'13.mell_ÖNKfeladatok2019'!AS$167:AS$321)</f>
        <v>0</v>
      </c>
      <c r="R148" s="495">
        <f>+SUMIF('13.mell_ÖNKfeladatok2019'!$B$167:$B$321,'14.mell_Önk kiegészítés2019'!$A8,'13.mell_ÖNKfeladatok2019'!AW$167:AW$321)</f>
        <v>0</v>
      </c>
      <c r="S148" s="534">
        <f t="shared" si="513"/>
        <v>25301</v>
      </c>
      <c r="T148" s="496">
        <f t="shared" si="514"/>
        <v>25301</v>
      </c>
      <c r="U148" s="1079">
        <f>+ROUND(SUMIF('10.mell_támogatások2019'!$B$6:$B$137,'14.mell_Önk kiegészítés2019'!$A8,'10.mell_támogatások2019'!F$6:F$137)/1000,0)</f>
        <v>26600</v>
      </c>
      <c r="V148" s="497">
        <f t="shared" si="515"/>
        <v>-1299</v>
      </c>
      <c r="AB148" s="226"/>
      <c r="AC148" s="226"/>
      <c r="AD148" s="226"/>
      <c r="AE148" s="226"/>
      <c r="AS148" s="486"/>
      <c r="AT148" s="486"/>
      <c r="AU148" s="486"/>
      <c r="AV148" s="486"/>
      <c r="BE148" s="486"/>
      <c r="BF148" s="486"/>
      <c r="BG148" s="486"/>
      <c r="BH148" s="486"/>
      <c r="BL148" s="226"/>
      <c r="BM148" s="226"/>
      <c r="BN148" s="226"/>
      <c r="BO148" s="226"/>
      <c r="BX148" s="226"/>
      <c r="BY148" s="226"/>
      <c r="BZ148" s="226"/>
      <c r="CA148" s="226"/>
    </row>
    <row r="149" spans="1:79">
      <c r="A149" s="735">
        <f>+A148+1</f>
        <v>4</v>
      </c>
      <c r="B149" s="494" t="s">
        <v>655</v>
      </c>
      <c r="C149" s="495">
        <f>+SUMIF('13.mell_ÖNKfeladatok2019'!$B$5:$B$159,'14.mell_Önk kiegészítés2019'!$A9,'13.mell_ÖNKfeladatok2019'!Q$5:Q$159)</f>
        <v>0</v>
      </c>
      <c r="D149" s="495">
        <f>+SUMIF('13.mell_ÖNKfeladatok2019'!$B$5:$B$159,'14.mell_Önk kiegészítés2019'!$A9,'13.mell_ÖNKfeladatok2019'!U$5:U$159)</f>
        <v>0</v>
      </c>
      <c r="E149" s="495">
        <f>+SUMIF('13.mell_ÖNKfeladatok2019'!$B$5:$B$159,'14.mell_Önk kiegészítés2019'!$A9,'13.mell_ÖNKfeladatok2019'!Y$5:Y$159)</f>
        <v>40</v>
      </c>
      <c r="F149" s="495">
        <f>+SUMIF('13.mell_ÖNKfeladatok2019'!$B$5:$B$159,'14.mell_Önk kiegészítés2019'!$A9,'13.mell_ÖNKfeladatok2019'!AC$5:AC$159)</f>
        <v>0</v>
      </c>
      <c r="G149" s="491">
        <f>+SUMIF('13.mell_ÖNKfeladatok2019'!$B$5:$B$159,'14.mell_Önk kiegészítés2019'!$A9,'13.mell_ÖNKfeladatok2019'!AK$5:AK$159)</f>
        <v>0</v>
      </c>
      <c r="H149" s="495">
        <f>+SUMIF('13.mell_ÖNKfeladatok2019'!$B$5:$B$159,'14.mell_Önk kiegészítés2019'!$A9,'13.mell_ÖNKfeladatok2019'!AO$5:AO$159)</f>
        <v>0</v>
      </c>
      <c r="I149" s="495">
        <f>+SUMIF('13.mell_ÖNKfeladatok2019'!$B$5:$B$159,'14.mell_Önk kiegészítés2019'!$A9,'13.mell_ÖNKfeladatok2019'!AS$5:AS$159)</f>
        <v>0</v>
      </c>
      <c r="J149" s="534">
        <f t="shared" si="512"/>
        <v>40</v>
      </c>
      <c r="K149" s="495">
        <f>+SUMIF('13.mell_ÖNKfeladatok2019'!$B$167:$B$321,'14.mell_Önk kiegészítés2019'!$A9,'13.mell_ÖNKfeladatok2019'!Q$167:Q$321)</f>
        <v>0</v>
      </c>
      <c r="L149" s="495">
        <f>+SUMIF('13.mell_ÖNKfeladatok2019'!$B$167:$B$321,'14.mell_Önk kiegészítés2019'!$A9,'13.mell_ÖNKfeladatok2019'!U$167:U$321)</f>
        <v>0</v>
      </c>
      <c r="M149" s="495">
        <f>+SUMIF('13.mell_ÖNKfeladatok2019'!$B$167:$B$321,'14.mell_Önk kiegészítés2019'!$A9,'13.mell_ÖNKfeladatok2019'!Y$167:Y$321)</f>
        <v>10153</v>
      </c>
      <c r="N149" s="495">
        <f>+SUMIF('13.mell_ÖNKfeladatok2019'!$B$167:$B$321,'14.mell_Önk kiegészítés2019'!$A9,'13.mell_ÖNKfeladatok2019'!AC$167:AC$321)</f>
        <v>0</v>
      </c>
      <c r="O149" s="495">
        <f>+SUMIF('13.mell_ÖNKfeladatok2019'!$B$167:$B$321,'14.mell_Önk kiegészítés2019'!$A9,'13.mell_ÖNKfeladatok2019'!AG$167:AG$321)</f>
        <v>0</v>
      </c>
      <c r="P149" s="495">
        <f>+SUMIF('13.mell_ÖNKfeladatok2019'!$B$167:$B$321,'14.mell_Önk kiegészítés2019'!$A9,'13.mell_ÖNKfeladatok2019'!AO$167:AO$321)</f>
        <v>851</v>
      </c>
      <c r="Q149" s="495">
        <f>+SUMIF('13.mell_ÖNKfeladatok2019'!$B$167:$B$321,'14.mell_Önk kiegészítés2019'!$A9,'13.mell_ÖNKfeladatok2019'!AS$167:AS$321)</f>
        <v>0</v>
      </c>
      <c r="R149" s="495">
        <f>+SUMIF('13.mell_ÖNKfeladatok2019'!$B$167:$B$321,'14.mell_Önk kiegészítés2019'!$A9,'13.mell_ÖNKfeladatok2019'!AW$167:AW$321)</f>
        <v>0</v>
      </c>
      <c r="S149" s="534">
        <f t="shared" si="513"/>
        <v>11004</v>
      </c>
      <c r="T149" s="496">
        <f t="shared" si="514"/>
        <v>10964</v>
      </c>
      <c r="U149" s="1079">
        <f>+ROUND(SUMIF('10.mell_támogatások2019'!$B$6:$B$137,'14.mell_Önk kiegészítés2019'!$A9,'10.mell_támogatások2019'!F$6:F$137)/1000,0)</f>
        <v>13509</v>
      </c>
      <c r="V149" s="497">
        <f t="shared" si="515"/>
        <v>-2545</v>
      </c>
      <c r="AB149" s="226"/>
      <c r="AC149" s="226"/>
      <c r="AD149" s="226"/>
      <c r="AE149" s="226"/>
      <c r="AS149" s="486"/>
      <c r="AT149" s="486"/>
      <c r="AU149" s="486"/>
      <c r="AV149" s="486"/>
      <c r="BE149" s="486"/>
      <c r="BF149" s="486"/>
      <c r="BG149" s="486"/>
      <c r="BH149" s="486"/>
      <c r="BL149" s="226"/>
      <c r="BM149" s="226"/>
      <c r="BN149" s="226"/>
      <c r="BO149" s="226"/>
      <c r="BX149" s="226"/>
      <c r="BY149" s="226"/>
      <c r="BZ149" s="226"/>
      <c r="CA149" s="226"/>
    </row>
    <row r="150" spans="1:79">
      <c r="A150" s="735">
        <f>+A149+1</f>
        <v>5</v>
      </c>
      <c r="B150" s="494" t="s">
        <v>652</v>
      </c>
      <c r="C150" s="495">
        <f>+SUMIF('13.mell_ÖNKfeladatok2019'!$B$5:$B$159,'14.mell_Önk kiegészítés2019'!$A10,'13.mell_ÖNKfeladatok2019'!Q$5:Q$159)</f>
        <v>0</v>
      </c>
      <c r="D150" s="495">
        <f>+SUMIF('13.mell_ÖNKfeladatok2019'!$B$5:$B$159,'14.mell_Önk kiegészítés2019'!$A10,'13.mell_ÖNKfeladatok2019'!U$5:U$159)</f>
        <v>0</v>
      </c>
      <c r="E150" s="495">
        <f>+SUMIF('13.mell_ÖNKfeladatok2019'!$B$5:$B$159,'14.mell_Önk kiegészítés2019'!$A10,'13.mell_ÖNKfeladatok2019'!Y$5:Y$159)</f>
        <v>0</v>
      </c>
      <c r="F150" s="495">
        <f>+SUMIF('13.mell_ÖNKfeladatok2019'!$B$5:$B$159,'14.mell_Önk kiegészítés2019'!$A10,'13.mell_ÖNKfeladatok2019'!AC$5:AC$159)</f>
        <v>0</v>
      </c>
      <c r="G150" s="491">
        <f>+SUMIF('13.mell_ÖNKfeladatok2019'!$B$5:$B$159,'14.mell_Önk kiegészítés2019'!$A10,'13.mell_ÖNKfeladatok2019'!AK$5:AK$159)</f>
        <v>0</v>
      </c>
      <c r="H150" s="495">
        <f>+SUMIF('13.mell_ÖNKfeladatok2019'!$B$5:$B$159,'14.mell_Önk kiegészítés2019'!$A10,'13.mell_ÖNKfeladatok2019'!AO$5:AO$159)</f>
        <v>0</v>
      </c>
      <c r="I150" s="495">
        <f>+SUMIF('13.mell_ÖNKfeladatok2019'!$B$5:$B$159,'14.mell_Önk kiegészítés2019'!$A10,'13.mell_ÖNKfeladatok2019'!AS$5:AS$159)</f>
        <v>0</v>
      </c>
      <c r="J150" s="534">
        <f t="shared" si="512"/>
        <v>0</v>
      </c>
      <c r="K150" s="495">
        <f>+SUMIF('13.mell_ÖNKfeladatok2019'!$B$167:$B$321,'14.mell_Önk kiegészítés2019'!$A10,'13.mell_ÖNKfeladatok2019'!Q$167:Q$321)</f>
        <v>0</v>
      </c>
      <c r="L150" s="495">
        <f>+SUMIF('13.mell_ÖNKfeladatok2019'!$B$167:$B$321,'14.mell_Önk kiegészítés2019'!$A10,'13.mell_ÖNKfeladatok2019'!U$167:U$321)</f>
        <v>0</v>
      </c>
      <c r="M150" s="495">
        <f>+SUMIF('13.mell_ÖNKfeladatok2019'!$B$167:$B$321,'14.mell_Önk kiegészítés2019'!$A10,'13.mell_ÖNKfeladatok2019'!Y$167:Y$321)</f>
        <v>37411</v>
      </c>
      <c r="N150" s="495">
        <f>+SUMIF('13.mell_ÖNKfeladatok2019'!$B$167:$B$321,'14.mell_Önk kiegészítés2019'!$A10,'13.mell_ÖNKfeladatok2019'!AC$167:AC$321)</f>
        <v>0</v>
      </c>
      <c r="O150" s="495">
        <f>+SUMIF('13.mell_ÖNKfeladatok2019'!$B$167:$B$321,'14.mell_Önk kiegészítés2019'!$A10,'13.mell_ÖNKfeladatok2019'!AG$167:AG$321)</f>
        <v>0</v>
      </c>
      <c r="P150" s="495">
        <f>+SUMIF('13.mell_ÖNKfeladatok2019'!$B$167:$B$321,'14.mell_Önk kiegészítés2019'!$A10,'13.mell_ÖNKfeladatok2019'!AO$167:AO$321)</f>
        <v>4950</v>
      </c>
      <c r="Q150" s="495">
        <f>+SUMIF('13.mell_ÖNKfeladatok2019'!$B$167:$B$321,'14.mell_Önk kiegészítés2019'!$A10,'13.mell_ÖNKfeladatok2019'!AS$167:AS$321)</f>
        <v>17207</v>
      </c>
      <c r="R150" s="495">
        <f>+SUMIF('13.mell_ÖNKfeladatok2019'!$B$167:$B$321,'14.mell_Önk kiegészítés2019'!$A10,'13.mell_ÖNKfeladatok2019'!AW$167:AW$321)</f>
        <v>0</v>
      </c>
      <c r="S150" s="534">
        <f t="shared" si="513"/>
        <v>59568</v>
      </c>
      <c r="T150" s="496">
        <f t="shared" si="514"/>
        <v>59568</v>
      </c>
      <c r="U150" s="1079">
        <f>+ROUND(SUMIF('10.mell_támogatások2019'!$B$6:$B$137,'14.mell_Önk kiegészítés2019'!$A10,'10.mell_támogatások2019'!F$6:F$137)/1000,0)</f>
        <v>14918</v>
      </c>
      <c r="V150" s="497">
        <f t="shared" si="515"/>
        <v>44650</v>
      </c>
      <c r="AB150" s="226"/>
      <c r="AC150" s="226"/>
      <c r="AD150" s="226"/>
      <c r="AE150" s="226"/>
      <c r="AS150" s="486"/>
      <c r="AT150" s="486"/>
      <c r="AU150" s="486"/>
      <c r="AV150" s="486"/>
      <c r="BE150" s="486"/>
      <c r="BF150" s="486"/>
      <c r="BG150" s="486"/>
      <c r="BH150" s="486"/>
      <c r="BL150" s="226"/>
      <c r="BM150" s="226"/>
      <c r="BN150" s="226"/>
      <c r="BO150" s="226"/>
      <c r="BX150" s="226"/>
      <c r="BY150" s="226"/>
      <c r="BZ150" s="226"/>
      <c r="CA150" s="226"/>
    </row>
    <row r="151" spans="1:79">
      <c r="A151" s="735">
        <f>+A150+1</f>
        <v>6</v>
      </c>
      <c r="B151" s="494" t="s">
        <v>1160</v>
      </c>
      <c r="C151" s="495">
        <f>+SUMIF('13.mell_ÖNKfeladatok2019'!$B$5:$B$159,'14.mell_Önk kiegészítés2019'!$A11,'13.mell_ÖNKfeladatok2019'!Q$5:Q$159)</f>
        <v>157263</v>
      </c>
      <c r="D151" s="495">
        <f>+SUMIF('13.mell_ÖNKfeladatok2019'!$B$5:$B$159,'14.mell_Önk kiegészítés2019'!$A11,'13.mell_ÖNKfeladatok2019'!U$5:U$159)</f>
        <v>0</v>
      </c>
      <c r="E151" s="495">
        <f>+SUMIF('13.mell_ÖNKfeladatok2019'!$B$5:$B$159,'14.mell_Önk kiegészítés2019'!$A11,'13.mell_ÖNKfeladatok2019'!Y$5:Y$159)</f>
        <v>9143</v>
      </c>
      <c r="F151" s="495">
        <f>+SUMIF('13.mell_ÖNKfeladatok2019'!$B$5:$B$159,'14.mell_Önk kiegészítés2019'!$A11,'13.mell_ÖNKfeladatok2019'!AC$5:AC$159)</f>
        <v>0</v>
      </c>
      <c r="G151" s="491">
        <f>+SUMIF('13.mell_ÖNKfeladatok2019'!$B$5:$B$159,'14.mell_Önk kiegészítés2019'!$A11,'13.mell_ÖNKfeladatok2019'!AK$5:AK$159)</f>
        <v>4610</v>
      </c>
      <c r="H151" s="495">
        <f>+SUMIF('13.mell_ÖNKfeladatok2019'!$B$5:$B$159,'14.mell_Önk kiegészítés2019'!$A11,'13.mell_ÖNKfeladatok2019'!AO$5:AO$159)</f>
        <v>0</v>
      </c>
      <c r="I151" s="495">
        <f>+SUMIF('13.mell_ÖNKfeladatok2019'!$B$5:$B$159,'14.mell_Önk kiegészítés2019'!$A11,'13.mell_ÖNKfeladatok2019'!AS$5:AS$159)</f>
        <v>0</v>
      </c>
      <c r="J151" s="534">
        <f t="shared" si="512"/>
        <v>171016</v>
      </c>
      <c r="K151" s="495">
        <f>+SUMIF('13.mell_ÖNKfeladatok2019'!$B$167:$B$321,'14.mell_Önk kiegészítés2019'!$A11,'13.mell_ÖNKfeladatok2019'!Q$167:Q$321)</f>
        <v>125443</v>
      </c>
      <c r="L151" s="495">
        <f>+SUMIF('13.mell_ÖNKfeladatok2019'!$B$167:$B$321,'14.mell_Önk kiegészítés2019'!$A11,'13.mell_ÖNKfeladatok2019'!U$167:U$321)</f>
        <v>12281</v>
      </c>
      <c r="M151" s="495">
        <f>+SUMIF('13.mell_ÖNKfeladatok2019'!$B$167:$B$321,'14.mell_Önk kiegészítés2019'!$A11,'13.mell_ÖNKfeladatok2019'!Y$167:Y$321)</f>
        <v>40387</v>
      </c>
      <c r="N151" s="495">
        <f>+SUMIF('13.mell_ÖNKfeladatok2019'!$B$167:$B$321,'14.mell_Önk kiegészítés2019'!$A11,'13.mell_ÖNKfeladatok2019'!AC$167:AC$321)</f>
        <v>43161</v>
      </c>
      <c r="O151" s="495">
        <f>+SUMIF('13.mell_ÖNKfeladatok2019'!$B$167:$B$321,'14.mell_Önk kiegészítés2019'!$A11,'13.mell_ÖNKfeladatok2019'!AG$167:AG$321)</f>
        <v>0</v>
      </c>
      <c r="P151" s="495">
        <f>+SUMIF('13.mell_ÖNKfeladatok2019'!$B$167:$B$321,'14.mell_Önk kiegészítés2019'!$A11,'13.mell_ÖNKfeladatok2019'!AO$167:AO$321)</f>
        <v>9128</v>
      </c>
      <c r="Q151" s="495">
        <f>+SUMIF('13.mell_ÖNKfeladatok2019'!$B$167:$B$321,'14.mell_Önk kiegészítés2019'!$A11,'13.mell_ÖNKfeladatok2019'!AS$167:AS$321)</f>
        <v>13684</v>
      </c>
      <c r="R151" s="495">
        <f>+SUMIF('13.mell_ÖNKfeladatok2019'!$B$167:$B$321,'14.mell_Önk kiegészítés2019'!$A11,'13.mell_ÖNKfeladatok2019'!AW$167:AW$321)</f>
        <v>0</v>
      </c>
      <c r="S151" s="534">
        <f t="shared" si="513"/>
        <v>244084</v>
      </c>
      <c r="T151" s="496">
        <f t="shared" si="514"/>
        <v>73068</v>
      </c>
      <c r="U151" s="1079">
        <f>+ROUND(SUMIF('10.mell_támogatások2019'!$B$6:$B$137,'14.mell_Önk kiegészítés2019'!$A11,'10.mell_támogatások2019'!F$6:F$137)/1000,0)</f>
        <v>117374</v>
      </c>
      <c r="V151" s="497">
        <f t="shared" si="515"/>
        <v>-44306</v>
      </c>
      <c r="X151" s="785">
        <f>+V151+V155+V175+V176+V202-(V175-4139)+6581-3718-('13.mell_ÖNKfeladatok2019'!I184+'13.mell_ÖNKfeladatok2019'!I185+'13.mell_ÖNKfeladatok2019'!I186+'13.mell_ÖNKfeladatok2019'!I187+'13.mell_ÖNKfeladatok2019'!I188-'13.mell_ÖNKfeladatok2019'!I22-'13.mell_ÖNKfeladatok2019'!I23-'13.mell_ÖNKfeladatok2019'!I24-'13.mell_ÖNKfeladatok2019'!I25-'13.mell_ÖNKfeladatok2019'!I26)</f>
        <v>7280</v>
      </c>
      <c r="Y151" s="226" t="s">
        <v>1392</v>
      </c>
      <c r="AB151" s="226"/>
      <c r="AC151" s="226"/>
      <c r="AD151" s="226"/>
      <c r="AE151" s="226"/>
      <c r="AH151" s="226">
        <f>((-((9317+1817)+(4714+919)+500))+0)+0+17267</f>
        <v>0</v>
      </c>
      <c r="AS151" s="486"/>
      <c r="AT151" s="486"/>
      <c r="AU151" s="486"/>
      <c r="AV151" s="486"/>
      <c r="BE151" s="486"/>
      <c r="BF151" s="486"/>
      <c r="BG151" s="486"/>
      <c r="BH151" s="486"/>
      <c r="BL151" s="226"/>
      <c r="BM151" s="226"/>
      <c r="BN151" s="226"/>
      <c r="BO151" s="226"/>
      <c r="BX151" s="226"/>
      <c r="BY151" s="226"/>
      <c r="BZ151" s="226"/>
      <c r="CA151" s="226"/>
    </row>
    <row r="152" spans="1:79">
      <c r="A152" s="735">
        <f>A151+1</f>
        <v>7</v>
      </c>
      <c r="B152" s="494" t="s">
        <v>781</v>
      </c>
      <c r="C152" s="495">
        <f>+SUMIF('13.mell_ÖNKfeladatok2019'!$B$5:$B$159,'14.mell_Önk kiegészítés2019'!$A12,'13.mell_ÖNKfeladatok2019'!Q$5:Q$159)</f>
        <v>368854</v>
      </c>
      <c r="D152" s="495">
        <f>+SUMIF('13.mell_ÖNKfeladatok2019'!$B$5:$B$159,'14.mell_Önk kiegészítés2019'!$A12,'13.mell_ÖNKfeladatok2019'!U$5:U$159)</f>
        <v>0</v>
      </c>
      <c r="E152" s="495">
        <f>+SUMIF('13.mell_ÖNKfeladatok2019'!$B$5:$B$159,'14.mell_Önk kiegészítés2019'!$A12,'13.mell_ÖNKfeladatok2019'!Y$5:Y$159)</f>
        <v>0</v>
      </c>
      <c r="F152" s="495">
        <f>+SUMIF('13.mell_ÖNKfeladatok2019'!$B$5:$B$159,'14.mell_Önk kiegészítés2019'!$A12,'13.mell_ÖNKfeladatok2019'!AC$5:AC$159)</f>
        <v>0</v>
      </c>
      <c r="G152" s="491">
        <f>+SUMIF('13.mell_ÖNKfeladatok2019'!$B$5:$B$159,'14.mell_Önk kiegészítés2019'!$A12,'13.mell_ÖNKfeladatok2019'!AK$5:AK$159)</f>
        <v>828472</v>
      </c>
      <c r="H152" s="495">
        <f>+SUMIF('13.mell_ÖNKfeladatok2019'!$B$5:$B$159,'14.mell_Önk kiegészítés2019'!$A12,'13.mell_ÖNKfeladatok2019'!AO$5:AO$159)</f>
        <v>0</v>
      </c>
      <c r="I152" s="495">
        <f>+SUMIF('13.mell_ÖNKfeladatok2019'!$B$5:$B$159,'14.mell_Önk kiegészítés2019'!$A12,'13.mell_ÖNKfeladatok2019'!AS$5:AS$159)</f>
        <v>0</v>
      </c>
      <c r="J152" s="534">
        <f t="shared" si="512"/>
        <v>1197326</v>
      </c>
      <c r="K152" s="495">
        <f>+SUMIF('13.mell_ÖNKfeladatok2019'!$B$167:$B$321,'14.mell_Önk kiegészítés2019'!$A12,'13.mell_ÖNKfeladatok2019'!Q$167:Q$321)</f>
        <v>132369</v>
      </c>
      <c r="L152" s="495">
        <f>+SUMIF('13.mell_ÖNKfeladatok2019'!$B$167:$B$321,'14.mell_Önk kiegészítés2019'!$A12,'13.mell_ÖNKfeladatok2019'!U$167:U$321)</f>
        <v>23116</v>
      </c>
      <c r="M152" s="495">
        <f>+SUMIF('13.mell_ÖNKfeladatok2019'!$B$167:$B$321,'14.mell_Önk kiegészítés2019'!$A12,'13.mell_ÖNKfeladatok2019'!Y$167:Y$321)</f>
        <v>260855</v>
      </c>
      <c r="N152" s="495">
        <f>+SUMIF('13.mell_ÖNKfeladatok2019'!$B$167:$B$321,'14.mell_Önk kiegészítés2019'!$A12,'13.mell_ÖNKfeladatok2019'!AC$167:AC$321)</f>
        <v>0</v>
      </c>
      <c r="O152" s="495">
        <f>+SUMIF('13.mell_ÖNKfeladatok2019'!$B$167:$B$321,'14.mell_Önk kiegészítés2019'!$A12,'13.mell_ÖNKfeladatok2019'!AG$167:AG$321)</f>
        <v>8300</v>
      </c>
      <c r="P152" s="495">
        <f>+SUMIF('13.mell_ÖNKfeladatok2019'!$B$167:$B$321,'14.mell_Önk kiegészítés2019'!$A12,'13.mell_ÖNKfeladatok2019'!AO$167:AO$321)</f>
        <v>687310</v>
      </c>
      <c r="Q152" s="495">
        <f>+SUMIF('13.mell_ÖNKfeladatok2019'!$B$167:$B$321,'14.mell_Önk kiegészítés2019'!$A12,'13.mell_ÖNKfeladatok2019'!AS$167:AS$321)</f>
        <v>182375</v>
      </c>
      <c r="R152" s="495">
        <f>+SUMIF('13.mell_ÖNKfeladatok2019'!$B$167:$B$321,'14.mell_Önk kiegészítés2019'!$A12,'13.mell_ÖNKfeladatok2019'!AW$167:AW$321)</f>
        <v>18</v>
      </c>
      <c r="S152" s="534">
        <f t="shared" si="513"/>
        <v>1294343</v>
      </c>
      <c r="T152" s="496">
        <f t="shared" si="514"/>
        <v>97017</v>
      </c>
      <c r="U152" s="1080">
        <f>+ROUND(SUMIF('10.mell_támogatások2019'!$B$6:$B$137,'14.mell_Önk kiegészítés2019'!$A12,'10.mell_támogatások2019'!F$6:F$137)/1000,0)</f>
        <v>0</v>
      </c>
      <c r="V152" s="497">
        <f t="shared" si="515"/>
        <v>97017</v>
      </c>
      <c r="AB152" s="226"/>
      <c r="AC152" s="226"/>
      <c r="AD152" s="226"/>
      <c r="AE152" s="226"/>
      <c r="AS152" s="486"/>
      <c r="AT152" s="486"/>
      <c r="AU152" s="486"/>
      <c r="AV152" s="486"/>
      <c r="BE152" s="486"/>
      <c r="BF152" s="486"/>
      <c r="BG152" s="486"/>
      <c r="BH152" s="486"/>
      <c r="BL152" s="226"/>
      <c r="BM152" s="226"/>
      <c r="BN152" s="226"/>
      <c r="BO152" s="226"/>
      <c r="BX152" s="226"/>
      <c r="BY152" s="226"/>
      <c r="BZ152" s="226"/>
      <c r="CA152" s="226"/>
    </row>
    <row r="153" spans="1:79" ht="12.75" thickBot="1">
      <c r="A153" s="735">
        <f>+A152+1</f>
        <v>8</v>
      </c>
      <c r="B153" s="498" t="s">
        <v>764</v>
      </c>
      <c r="C153" s="495">
        <f>+SUMIF('13.mell_ÖNKfeladatok2019'!$B$5:$B$159,'14.mell_Önk kiegészítés2019'!$A13,'13.mell_ÖNKfeladatok2019'!Q$5:Q$159)</f>
        <v>927288</v>
      </c>
      <c r="D153" s="499">
        <f>+SUMIF('13.mell_ÖNKfeladatok2019'!$B$5:$B$159,'14.mell_Önk kiegészítés2019'!$A13,'13.mell_ÖNKfeladatok2019'!U$5:U$159)</f>
        <v>394432</v>
      </c>
      <c r="E153" s="499">
        <f>+SUMIF('13.mell_ÖNKfeladatok2019'!$B$5:$B$159,'14.mell_Önk kiegészítés2019'!$A13,'13.mell_ÖNKfeladatok2019'!Y$5:Y$159)</f>
        <v>64882</v>
      </c>
      <c r="F153" s="499">
        <f>+SUMIF('13.mell_ÖNKfeladatok2019'!$B$5:$B$159,'14.mell_Önk kiegészítés2019'!$A13,'13.mell_ÖNKfeladatok2019'!AC$5:AC$159)</f>
        <v>47801</v>
      </c>
      <c r="G153" s="491">
        <f>+SUMIF('13.mell_ÖNKfeladatok2019'!$B$5:$B$159,'14.mell_Önk kiegészítés2019'!$A13,'13.mell_ÖNKfeladatok2019'!AK$5:AK$159)</f>
        <v>382626</v>
      </c>
      <c r="H153" s="499">
        <f>+SUMIF('13.mell_ÖNKfeladatok2019'!$B$5:$B$159,'14.mell_Önk kiegészítés2019'!$A13,'13.mell_ÖNKfeladatok2019'!AO$5:AO$159)</f>
        <v>4022</v>
      </c>
      <c r="I153" s="499">
        <f>+SUMIF('13.mell_ÖNKfeladatok2019'!$B$5:$B$159,'14.mell_Önk kiegészítés2019'!$A13,'13.mell_ÖNKfeladatok2019'!AS$5:AS$159)</f>
        <v>0</v>
      </c>
      <c r="J153" s="534">
        <f t="shared" si="512"/>
        <v>1821051</v>
      </c>
      <c r="K153" s="495">
        <f>+SUMIF('13.mell_ÖNKfeladatok2019'!$B$167:$B$321,'14.mell_Önk kiegészítés2019'!$A13,'13.mell_ÖNKfeladatok2019'!Q$167:Q$321)</f>
        <v>9945</v>
      </c>
      <c r="L153" s="495">
        <f>+SUMIF('13.mell_ÖNKfeladatok2019'!$B$167:$B$321,'14.mell_Önk kiegészítés2019'!$A13,'13.mell_ÖNKfeladatok2019'!U$167:U$321)</f>
        <v>3939</v>
      </c>
      <c r="M153" s="495">
        <f>+SUMIF('13.mell_ÖNKfeladatok2019'!$B$167:$B$321,'14.mell_Önk kiegészítés2019'!$A13,'13.mell_ÖNKfeladatok2019'!Y$167:Y$321)</f>
        <v>167658</v>
      </c>
      <c r="N153" s="495">
        <f>+SUMIF('13.mell_ÖNKfeladatok2019'!$B$167:$B$321,'14.mell_Önk kiegészítés2019'!$A13,'13.mell_ÖNKfeladatok2019'!AC$167:AC$321)</f>
        <v>0</v>
      </c>
      <c r="O153" s="495">
        <f>+SUMIF('13.mell_ÖNKfeladatok2019'!$B$167:$B$321,'14.mell_Önk kiegészítés2019'!$A13,'13.mell_ÖNKfeladatok2019'!AG$167:AG$321)</f>
        <v>76877</v>
      </c>
      <c r="P153" s="495">
        <f>+SUMIF('13.mell_ÖNKfeladatok2019'!$B$167:$B$321,'14.mell_Önk kiegészítés2019'!$A13,'13.mell_ÖNKfeladatok2019'!AO$167:AO$321)</f>
        <v>62233</v>
      </c>
      <c r="Q153" s="495">
        <f>+SUMIF('13.mell_ÖNKfeladatok2019'!$B$167:$B$321,'14.mell_Önk kiegészítés2019'!$A13,'13.mell_ÖNKfeladatok2019'!AS$167:AS$321)</f>
        <v>33181</v>
      </c>
      <c r="R153" s="495">
        <f>+SUMIF('13.mell_ÖNKfeladatok2019'!$B$167:$B$321,'14.mell_Önk kiegészítés2019'!$A13,'13.mell_ÖNKfeladatok2019'!AW$167:AW$321)</f>
        <v>0</v>
      </c>
      <c r="S153" s="534">
        <f t="shared" si="513"/>
        <v>353833</v>
      </c>
      <c r="T153" s="496">
        <f t="shared" si="514"/>
        <v>-1467218</v>
      </c>
      <c r="U153" s="1080">
        <f>-ROUND('10.mell_támogatások2019'!$F$137/1000,0)+ROUND(SUMIF('10.mell_támogatások2019'!$B$6:$B$137,'14.mell_Önk kiegészítés2019'!$A13,'10.mell_támogatások2019'!F$6:F$137)/1000,0)+3084209-26396-928+1</f>
        <v>2290126</v>
      </c>
      <c r="V153" s="497">
        <f t="shared" si="515"/>
        <v>-3757344</v>
      </c>
      <c r="AB153" s="226">
        <v>3084209</v>
      </c>
      <c r="AC153" s="226">
        <f>0+(-25496-900)</f>
        <v>-26396</v>
      </c>
      <c r="AD153" s="226"/>
      <c r="AE153" s="226">
        <f>(-472+(-26-42-85))+(-38-62-127)-13-21-42</f>
        <v>-928</v>
      </c>
      <c r="AS153" s="486"/>
      <c r="AT153" s="486"/>
      <c r="AU153" s="486"/>
      <c r="AV153" s="486"/>
      <c r="BE153" s="486"/>
      <c r="BF153" s="486"/>
      <c r="BG153" s="486"/>
      <c r="BH153" s="486"/>
      <c r="BL153" s="226"/>
      <c r="BM153" s="226"/>
      <c r="BN153" s="226"/>
      <c r="BO153" s="226"/>
      <c r="BX153" s="226"/>
      <c r="BY153" s="226"/>
      <c r="BZ153" s="226"/>
      <c r="CA153" s="226"/>
    </row>
    <row r="154" spans="1:79" ht="12.75" thickBot="1">
      <c r="A154" s="500" t="s">
        <v>596</v>
      </c>
      <c r="B154" s="501" t="s">
        <v>411</v>
      </c>
      <c r="C154" s="502">
        <f t="shared" ref="C154:I154" si="516">SUM(C146:C153)</f>
        <v>1453405</v>
      </c>
      <c r="D154" s="503">
        <f t="shared" si="516"/>
        <v>394432</v>
      </c>
      <c r="E154" s="503">
        <f t="shared" si="516"/>
        <v>74075</v>
      </c>
      <c r="F154" s="503">
        <f t="shared" si="516"/>
        <v>47801</v>
      </c>
      <c r="G154" s="503">
        <f t="shared" si="516"/>
        <v>1215708</v>
      </c>
      <c r="H154" s="503">
        <f t="shared" si="516"/>
        <v>4022</v>
      </c>
      <c r="I154" s="504">
        <f t="shared" si="516"/>
        <v>0</v>
      </c>
      <c r="J154" s="505">
        <f t="shared" ref="J154" si="517">SUM(J146:J153)</f>
        <v>3189443</v>
      </c>
      <c r="K154" s="502">
        <f t="shared" ref="K154:R154" si="518">SUM(K146:K153)</f>
        <v>303189</v>
      </c>
      <c r="L154" s="502">
        <f t="shared" si="518"/>
        <v>45507</v>
      </c>
      <c r="M154" s="502">
        <f t="shared" si="518"/>
        <v>543183</v>
      </c>
      <c r="N154" s="502">
        <f t="shared" si="518"/>
        <v>43161</v>
      </c>
      <c r="O154" s="502">
        <f t="shared" si="518"/>
        <v>85177</v>
      </c>
      <c r="P154" s="502">
        <f t="shared" si="518"/>
        <v>764472</v>
      </c>
      <c r="Q154" s="502">
        <f t="shared" si="518"/>
        <v>248004</v>
      </c>
      <c r="R154" s="502">
        <f t="shared" si="518"/>
        <v>18</v>
      </c>
      <c r="S154" s="505">
        <f t="shared" ref="S154" si="519">SUM(S146:S153)</f>
        <v>2032711</v>
      </c>
      <c r="T154" s="502">
        <f>SUM(T146:T153)</f>
        <v>-1156732</v>
      </c>
      <c r="U154" s="506">
        <f>SUM(U146:U153)</f>
        <v>2467948</v>
      </c>
      <c r="V154" s="505">
        <f>SUM(V146:V153)</f>
        <v>-3624680</v>
      </c>
      <c r="AB154" s="226"/>
      <c r="AC154" s="226"/>
      <c r="AD154" s="226"/>
      <c r="AE154" s="226"/>
      <c r="AS154" s="486"/>
      <c r="AT154" s="486"/>
      <c r="AU154" s="486"/>
      <c r="AV154" s="486"/>
      <c r="BE154" s="486"/>
      <c r="BF154" s="486"/>
      <c r="BG154" s="486"/>
      <c r="BH154" s="486"/>
      <c r="BL154" s="226"/>
      <c r="BM154" s="226"/>
      <c r="BN154" s="226"/>
      <c r="BO154" s="226"/>
      <c r="BX154" s="226"/>
      <c r="BY154" s="226"/>
      <c r="BZ154" s="226"/>
      <c r="CA154" s="226"/>
    </row>
    <row r="155" spans="1:79" ht="12.75">
      <c r="A155" s="735">
        <f>+A153+1</f>
        <v>9</v>
      </c>
      <c r="B155" s="498" t="s">
        <v>779</v>
      </c>
      <c r="C155" s="499">
        <f>+SUMIF('13.mell_ÖNKfeladatok2019'!$B$5:$B$159,'14.mell_Önk kiegészítés2019'!$A15,'13.mell_ÖNKfeladatok2019'!Q$5:Q$159)</f>
        <v>100</v>
      </c>
      <c r="D155" s="499">
        <f>+SUMIF('13.mell_ÖNKfeladatok2019'!$B$5:$B$159,'14.mell_Önk kiegészítés2019'!$A15,'13.mell_ÖNKfeladatok2019'!U$5:U$159)</f>
        <v>0</v>
      </c>
      <c r="E155" s="499">
        <f>+SUMIF('13.mell_ÖNKfeladatok2019'!$B$5:$B$159,'14.mell_Önk kiegészítés2019'!$A15,'13.mell_ÖNKfeladatok2019'!Y$5:Y$159)</f>
        <v>0</v>
      </c>
      <c r="F155" s="499">
        <f>+SUMIF('13.mell_ÖNKfeladatok2019'!$B$5:$B$159,'14.mell_Önk kiegészítés2019'!$A15,'13.mell_ÖNKfeladatok2019'!AC$5:AC$159)</f>
        <v>0</v>
      </c>
      <c r="G155" s="499">
        <f>+SUMIF('13.mell_ÖNKfeladatok2019'!$B$5:$B$159,'14.mell_Önk kiegészítés2019'!$A15,'13.mell_ÖNKfeladatok2019'!AK$5:AK$159)</f>
        <v>0</v>
      </c>
      <c r="H155" s="499">
        <f>+SUMIF('13.mell_ÖNKfeladatok2019'!$B$5:$B$159,'14.mell_Önk kiegészítés2019'!$A15,'13.mell_ÖNKfeladatok2019'!AO$5:AO$159)</f>
        <v>0</v>
      </c>
      <c r="I155" s="499">
        <f>+SUMIF('13.mell_ÖNKfeladatok2019'!$B$5:$B$159,'14.mell_Önk kiegészítés2019'!$A15,'13.mell_ÖNKfeladatok2019'!AS$5:AS$159)</f>
        <v>0</v>
      </c>
      <c r="J155" s="535">
        <f>SUM(C155:I155)</f>
        <v>100</v>
      </c>
      <c r="K155" s="495">
        <f>+SUMIF('13.mell_ÖNKfeladatok2019'!$B$167:$B$321,'14.mell_Önk kiegészítés2019'!$A15,'13.mell_ÖNKfeladatok2019'!Q$167:Q$321)</f>
        <v>0</v>
      </c>
      <c r="L155" s="495">
        <f>+SUMIF('13.mell_ÖNKfeladatok2019'!$B$167:$B$321,'14.mell_Önk kiegészítés2019'!$A15,'13.mell_ÖNKfeladatok2019'!U$167:U$321)</f>
        <v>0</v>
      </c>
      <c r="M155" s="495">
        <f>+SUMIF('13.mell_ÖNKfeladatok2019'!$B$167:$B$321,'14.mell_Önk kiegészítés2019'!$A15,'13.mell_ÖNKfeladatok2019'!Y$167:Y$321)</f>
        <v>5383</v>
      </c>
      <c r="N155" s="495">
        <f>+SUMIF('13.mell_ÖNKfeladatok2019'!$B$167:$B$321,'14.mell_Önk kiegészítés2019'!$A15,'13.mell_ÖNKfeladatok2019'!AC$167:AC$321)</f>
        <v>0</v>
      </c>
      <c r="O155" s="495">
        <f>+SUMIF('13.mell_ÖNKfeladatok2019'!$B$167:$B$321,'14.mell_Önk kiegészítés2019'!$A15,'13.mell_ÖNKfeladatok2019'!AG$167:AG$321)</f>
        <v>275</v>
      </c>
      <c r="P155" s="495">
        <f>+SUMIF('13.mell_ÖNKfeladatok2019'!$B$167:$B$321,'14.mell_Önk kiegészítés2019'!$A15,'13.mell_ÖNKfeladatok2019'!AO$167:AO$321)</f>
        <v>0</v>
      </c>
      <c r="Q155" s="495">
        <f>+SUMIF('13.mell_ÖNKfeladatok2019'!$B$167:$B$321,'14.mell_Önk kiegészítés2019'!$A15,'13.mell_ÖNKfeladatok2019'!AS$167:AS$321)</f>
        <v>0</v>
      </c>
      <c r="R155" s="495">
        <f>+SUMIF('13.mell_ÖNKfeladatok2019'!$B$167:$B$321,'14.mell_Önk kiegészítés2019'!$A15,'13.mell_ÖNKfeladatok2019'!AW$167:AW$321)</f>
        <v>0</v>
      </c>
      <c r="S155" s="534">
        <f>SUM(K155:R155)</f>
        <v>5658</v>
      </c>
      <c r="T155" s="496">
        <f>S155-J155</f>
        <v>5558</v>
      </c>
      <c r="U155" s="1081">
        <f>+ROUND(SUMIF('10.mell_támogatások2019'!$B$6:$B$137,'14.mell_Önk kiegészítés2019'!$A15,'10.mell_támogatások2019'!F$6:F$137)/1000,0)</f>
        <v>0</v>
      </c>
      <c r="V155" s="497">
        <f>+T155-U155</f>
        <v>5558</v>
      </c>
      <c r="AB155" s="226"/>
      <c r="AC155" s="226"/>
      <c r="AD155" s="226"/>
      <c r="AE155" s="226"/>
      <c r="AS155" s="486"/>
      <c r="AT155" s="486"/>
      <c r="AU155" s="486"/>
      <c r="AV155" s="486"/>
      <c r="BE155" s="486"/>
      <c r="BF155" s="486"/>
      <c r="BG155" s="486"/>
      <c r="BH155" s="486"/>
      <c r="BL155" s="226"/>
      <c r="BM155" s="226"/>
      <c r="BN155" s="226"/>
      <c r="BO155" s="226"/>
      <c r="BX155" s="226"/>
      <c r="BY155" s="226"/>
      <c r="BZ155" s="226"/>
      <c r="CA155" s="226"/>
    </row>
    <row r="156" spans="1:79" ht="12.75" thickBot="1">
      <c r="A156" s="735">
        <f>+A155+1</f>
        <v>10</v>
      </c>
      <c r="B156" s="498" t="s">
        <v>765</v>
      </c>
      <c r="C156" s="499">
        <f>+SUMIF('13.mell_ÖNKfeladatok2019'!$B$5:$B$159,'14.mell_Önk kiegészítés2019'!$A16,'13.mell_ÖNKfeladatok2019'!Q$5:Q$159)</f>
        <v>0</v>
      </c>
      <c r="D156" s="499">
        <f>+SUMIF('13.mell_ÖNKfeladatok2019'!$B$5:$B$159,'14.mell_Önk kiegészítés2019'!$A16,'13.mell_ÖNKfeladatok2019'!U$5:U$159)</f>
        <v>0</v>
      </c>
      <c r="E156" s="499">
        <f>+SUMIF('13.mell_ÖNKfeladatok2019'!$B$5:$B$159,'14.mell_Önk kiegészítés2019'!$A16,'13.mell_ÖNKfeladatok2019'!Y$5:Y$159)</f>
        <v>0</v>
      </c>
      <c r="F156" s="499">
        <f>+SUMIF('13.mell_ÖNKfeladatok2019'!$B$5:$B$159,'14.mell_Önk kiegészítés2019'!$A16,'13.mell_ÖNKfeladatok2019'!AC$5:AC$159)</f>
        <v>0</v>
      </c>
      <c r="G156" s="499">
        <f>+SUMIF('13.mell_ÖNKfeladatok2019'!$B$5:$B$159,'14.mell_Önk kiegészítés2019'!$A16,'13.mell_ÖNKfeladatok2019'!AK$5:AK$159)</f>
        <v>0</v>
      </c>
      <c r="H156" s="499">
        <f>+SUMIF('13.mell_ÖNKfeladatok2019'!$B$5:$B$159,'14.mell_Önk kiegészítés2019'!$A16,'13.mell_ÖNKfeladatok2019'!AO$5:AO$159)</f>
        <v>0</v>
      </c>
      <c r="I156" s="499">
        <f>+SUMIF('13.mell_ÖNKfeladatok2019'!$B$5:$B$159,'14.mell_Önk kiegészítés2019'!$A16,'13.mell_ÖNKfeladatok2019'!AS$5:AS$159)</f>
        <v>838</v>
      </c>
      <c r="J156" s="535">
        <f>SUM(C156:I156)</f>
        <v>838</v>
      </c>
      <c r="K156" s="495">
        <f>+SUMIF('13.mell_ÖNKfeladatok2019'!$B$167:$B$321,'14.mell_Önk kiegészítés2019'!$A16,'13.mell_ÖNKfeladatok2019'!Q$167:Q$321)</f>
        <v>0</v>
      </c>
      <c r="L156" s="495">
        <f>+SUMIF('13.mell_ÖNKfeladatok2019'!$B$167:$B$321,'14.mell_Önk kiegészítés2019'!$A16,'13.mell_ÖNKfeladatok2019'!U$167:U$321)</f>
        <v>0</v>
      </c>
      <c r="M156" s="495">
        <f>+SUMIF('13.mell_ÖNKfeladatok2019'!$B$167:$B$321,'14.mell_Önk kiegészítés2019'!$A16,'13.mell_ÖNKfeladatok2019'!Y$167:Y$321)</f>
        <v>0</v>
      </c>
      <c r="N156" s="495">
        <f>+SUMIF('13.mell_ÖNKfeladatok2019'!$B$167:$B$321,'14.mell_Önk kiegészítés2019'!$A16,'13.mell_ÖNKfeladatok2019'!AC$167:AC$321)</f>
        <v>0</v>
      </c>
      <c r="O156" s="495">
        <f>+SUMIF('13.mell_ÖNKfeladatok2019'!$B$167:$B$321,'14.mell_Önk kiegészítés2019'!$A16,'13.mell_ÖNKfeladatok2019'!AG$167:AG$321)</f>
        <v>900</v>
      </c>
      <c r="P156" s="495">
        <f>+SUMIF('13.mell_ÖNKfeladatok2019'!$B$167:$B$321,'14.mell_Önk kiegészítés2019'!$A16,'13.mell_ÖNKfeladatok2019'!AO$167:AO$321)</f>
        <v>4750</v>
      </c>
      <c r="Q156" s="495">
        <f>+SUMIF('13.mell_ÖNKfeladatok2019'!$B$167:$B$321,'14.mell_Önk kiegészítés2019'!$A16,'13.mell_ÖNKfeladatok2019'!AS$167:AS$321)</f>
        <v>0</v>
      </c>
      <c r="R156" s="495">
        <f>+SUMIF('13.mell_ÖNKfeladatok2019'!$B$167:$B$321,'14.mell_Önk kiegészítés2019'!$A16,'13.mell_ÖNKfeladatok2019'!AW$167:AW$321)</f>
        <v>0</v>
      </c>
      <c r="S156" s="534">
        <f>SUM(K156:R156)</f>
        <v>5650</v>
      </c>
      <c r="T156" s="496">
        <f>S156-J156</f>
        <v>4812</v>
      </c>
      <c r="U156" s="1080">
        <f>+ROUND(SUMIF('10.mell_támogatások2019'!$B$6:$B$137,'14.mell_Önk kiegészítés2019'!$A16,'10.mell_támogatások2019'!F$6:F$137)/1000,0)</f>
        <v>0</v>
      </c>
      <c r="V156" s="497">
        <f>+T156-U156</f>
        <v>4812</v>
      </c>
      <c r="AB156" s="226"/>
      <c r="AC156" s="226"/>
      <c r="AD156" s="226"/>
      <c r="AE156" s="226"/>
      <c r="AS156" s="486"/>
      <c r="AT156" s="486"/>
      <c r="AU156" s="486"/>
      <c r="AV156" s="486"/>
      <c r="BE156" s="486"/>
      <c r="BF156" s="486"/>
      <c r="BG156" s="486"/>
      <c r="BH156" s="486"/>
      <c r="BL156" s="226"/>
      <c r="BM156" s="226"/>
      <c r="BN156" s="226"/>
      <c r="BO156" s="226"/>
      <c r="BX156" s="226"/>
      <c r="BY156" s="226"/>
      <c r="BZ156" s="226"/>
      <c r="CA156" s="226"/>
    </row>
    <row r="157" spans="1:79" ht="12.75" thickBot="1">
      <c r="A157" s="500" t="s">
        <v>597</v>
      </c>
      <c r="B157" s="501" t="s">
        <v>412</v>
      </c>
      <c r="C157" s="502">
        <f t="shared" ref="C157:I157" si="520">SUM(C155:C156)</f>
        <v>100</v>
      </c>
      <c r="D157" s="503">
        <f t="shared" si="520"/>
        <v>0</v>
      </c>
      <c r="E157" s="503">
        <f t="shared" si="520"/>
        <v>0</v>
      </c>
      <c r="F157" s="503">
        <f t="shared" si="520"/>
        <v>0</v>
      </c>
      <c r="G157" s="503">
        <f t="shared" si="520"/>
        <v>0</v>
      </c>
      <c r="H157" s="503">
        <f t="shared" si="520"/>
        <v>0</v>
      </c>
      <c r="I157" s="506">
        <f t="shared" si="520"/>
        <v>838</v>
      </c>
      <c r="J157" s="505">
        <f t="shared" ref="J157" si="521">SUM(J155:J156)</f>
        <v>938</v>
      </c>
      <c r="K157" s="502">
        <f t="shared" ref="K157:R157" si="522">SUM(K155:K156)</f>
        <v>0</v>
      </c>
      <c r="L157" s="502">
        <f t="shared" si="522"/>
        <v>0</v>
      </c>
      <c r="M157" s="502">
        <f t="shared" si="522"/>
        <v>5383</v>
      </c>
      <c r="N157" s="502">
        <f t="shared" si="522"/>
        <v>0</v>
      </c>
      <c r="O157" s="502">
        <f t="shared" si="522"/>
        <v>1175</v>
      </c>
      <c r="P157" s="502">
        <f t="shared" si="522"/>
        <v>4750</v>
      </c>
      <c r="Q157" s="502">
        <f t="shared" si="522"/>
        <v>0</v>
      </c>
      <c r="R157" s="502">
        <f t="shared" si="522"/>
        <v>0</v>
      </c>
      <c r="S157" s="505">
        <f t="shared" ref="S157" si="523">SUM(S155:S156)</f>
        <v>11308</v>
      </c>
      <c r="T157" s="502">
        <f>SUM(T155:T156)</f>
        <v>10370</v>
      </c>
      <c r="U157" s="506">
        <f>SUM(U155:U156)</f>
        <v>0</v>
      </c>
      <c r="V157" s="505">
        <f>SUM(V155:V156)</f>
        <v>10370</v>
      </c>
      <c r="AB157" s="226"/>
      <c r="AC157" s="226"/>
      <c r="AD157" s="226"/>
      <c r="AE157" s="226"/>
      <c r="AS157" s="486"/>
      <c r="AT157" s="486"/>
      <c r="AU157" s="486"/>
      <c r="AV157" s="486"/>
      <c r="BE157" s="486"/>
      <c r="BF157" s="486"/>
      <c r="BG157" s="486"/>
      <c r="BH157" s="486"/>
      <c r="BL157" s="226"/>
      <c r="BM157" s="226"/>
      <c r="BN157" s="226"/>
      <c r="BO157" s="226"/>
      <c r="BX157" s="226"/>
      <c r="BY157" s="226"/>
      <c r="BZ157" s="226"/>
      <c r="CA157" s="226"/>
    </row>
    <row r="158" spans="1:79" ht="12.75" thickBot="1">
      <c r="A158" s="735">
        <f>+A156+1</f>
        <v>11</v>
      </c>
      <c r="B158" s="507" t="s">
        <v>413</v>
      </c>
      <c r="C158" s="508">
        <f>+SUMIF('13.mell_ÖNKfeladatok2019'!$B$5:$B$159,'14.mell_Önk kiegészítés2019'!$A18,'13.mell_ÖNKfeladatok2019'!Q$5:Q$159)</f>
        <v>0</v>
      </c>
      <c r="D158" s="508">
        <f>+SUMIF('13.mell_ÖNKfeladatok2019'!$B$5:$B$159,'14.mell_Önk kiegészítés2019'!$A18,'13.mell_ÖNKfeladatok2019'!U$5:U$159)</f>
        <v>0</v>
      </c>
      <c r="E158" s="508">
        <f>+SUMIF('13.mell_ÖNKfeladatok2019'!$B$5:$B$159,'14.mell_Önk kiegészítés2019'!$A18,'13.mell_ÖNKfeladatok2019'!Y$5:Y$159)</f>
        <v>0</v>
      </c>
      <c r="F158" s="508">
        <f>+SUMIF('13.mell_ÖNKfeladatok2019'!$B$5:$B$159,'14.mell_Önk kiegészítés2019'!$A18,'13.mell_ÖNKfeladatok2019'!AC$5:AC$159)</f>
        <v>0</v>
      </c>
      <c r="G158" s="508">
        <f>+SUMIF('13.mell_ÖNKfeladatok2019'!$B$5:$B$159,'14.mell_Önk kiegészítés2019'!$A18,'13.mell_ÖNKfeladatok2019'!AK$5:AK$159)</f>
        <v>0</v>
      </c>
      <c r="H158" s="508">
        <f>+SUMIF('13.mell_ÖNKfeladatok2019'!$B$5:$B$159,'14.mell_Önk kiegészítés2019'!$A18,'13.mell_ÖNKfeladatok2019'!AO$5:AO$159)</f>
        <v>0</v>
      </c>
      <c r="I158" s="508">
        <f>+SUMIF('13.mell_ÖNKfeladatok2019'!$B$5:$B$159,'14.mell_Önk kiegészítés2019'!$A18,'13.mell_ÖNKfeladatok2019'!AS$5:AS$159)</f>
        <v>0</v>
      </c>
      <c r="J158" s="536">
        <f>SUM(C158:I158)</f>
        <v>0</v>
      </c>
      <c r="K158" s="495">
        <f>+SUMIF('13.mell_ÖNKfeladatok2019'!$B$167:$B$321,'14.mell_Önk kiegészítés2019'!$A18,'13.mell_ÖNKfeladatok2019'!Q$167:Q$321)</f>
        <v>0</v>
      </c>
      <c r="L158" s="495">
        <f>+SUMIF('13.mell_ÖNKfeladatok2019'!$B$167:$B$321,'14.mell_Önk kiegészítés2019'!$A18,'13.mell_ÖNKfeladatok2019'!U$167:U$321)</f>
        <v>0</v>
      </c>
      <c r="M158" s="495">
        <f>+SUMIF('13.mell_ÖNKfeladatok2019'!$B$167:$B$321,'14.mell_Önk kiegészítés2019'!$A18,'13.mell_ÖNKfeladatok2019'!Y$167:Y$321)</f>
        <v>0</v>
      </c>
      <c r="N158" s="495">
        <f>+SUMIF('13.mell_ÖNKfeladatok2019'!$B$167:$B$321,'14.mell_Önk kiegészítés2019'!$A18,'13.mell_ÖNKfeladatok2019'!AC$167:AC$321)</f>
        <v>0</v>
      </c>
      <c r="O158" s="495">
        <f>+SUMIF('13.mell_ÖNKfeladatok2019'!$B$167:$B$321,'14.mell_Önk kiegészítés2019'!$A18,'13.mell_ÖNKfeladatok2019'!AG$167:AG$321)</f>
        <v>0</v>
      </c>
      <c r="P158" s="495">
        <f>+SUMIF('13.mell_ÖNKfeladatok2019'!$B$167:$B$321,'14.mell_Önk kiegészítés2019'!$A18,'13.mell_ÖNKfeladatok2019'!AO$167:AO$321)</f>
        <v>0</v>
      </c>
      <c r="Q158" s="495">
        <f>+SUMIF('13.mell_ÖNKfeladatok2019'!$B$167:$B$321,'14.mell_Önk kiegészítés2019'!$A18,'13.mell_ÖNKfeladatok2019'!AS$167:AS$321)</f>
        <v>0</v>
      </c>
      <c r="R158" s="495">
        <f>+SUMIF('13.mell_ÖNKfeladatok2019'!$B$167:$B$321,'14.mell_Önk kiegészítés2019'!$A18,'13.mell_ÖNKfeladatok2019'!AW$167:AW$321)</f>
        <v>0</v>
      </c>
      <c r="S158" s="534">
        <f>SUM(K158:R158)</f>
        <v>0</v>
      </c>
      <c r="T158" s="496">
        <f>S158-J158</f>
        <v>0</v>
      </c>
      <c r="U158" s="1080">
        <f>+ROUND(SUMIF('10.mell_támogatások2019'!$B$6:$B$137,'14.mell_Önk kiegészítés2019'!$A18,'10.mell_támogatások2019'!F$6:F$137)/1000,0)</f>
        <v>0</v>
      </c>
      <c r="V158" s="497">
        <f>+T158-U158</f>
        <v>0</v>
      </c>
      <c r="AB158" s="226"/>
      <c r="AC158" s="226"/>
      <c r="AD158" s="226"/>
      <c r="AE158" s="226"/>
      <c r="AS158" s="486"/>
      <c r="AT158" s="486"/>
      <c r="AU158" s="486"/>
      <c r="AV158" s="486"/>
      <c r="BE158" s="486"/>
      <c r="BF158" s="486"/>
      <c r="BG158" s="486"/>
      <c r="BH158" s="486"/>
      <c r="BL158" s="226"/>
      <c r="BM158" s="226"/>
      <c r="BN158" s="226"/>
      <c r="BO158" s="226"/>
      <c r="BX158" s="226"/>
      <c r="BY158" s="226"/>
      <c r="BZ158" s="226"/>
      <c r="CA158" s="226"/>
    </row>
    <row r="159" spans="1:79" ht="12.75" thickBot="1">
      <c r="A159" s="500" t="s">
        <v>598</v>
      </c>
      <c r="B159" s="501" t="s">
        <v>413</v>
      </c>
      <c r="C159" s="502">
        <f t="shared" ref="C159:I159" si="524">SUM(C158)</f>
        <v>0</v>
      </c>
      <c r="D159" s="503">
        <f t="shared" si="524"/>
        <v>0</v>
      </c>
      <c r="E159" s="503">
        <f t="shared" si="524"/>
        <v>0</v>
      </c>
      <c r="F159" s="503">
        <f t="shared" si="524"/>
        <v>0</v>
      </c>
      <c r="G159" s="503">
        <f t="shared" si="524"/>
        <v>0</v>
      </c>
      <c r="H159" s="503">
        <f t="shared" si="524"/>
        <v>0</v>
      </c>
      <c r="I159" s="506">
        <f t="shared" si="524"/>
        <v>0</v>
      </c>
      <c r="J159" s="505">
        <f t="shared" ref="J159" si="525">SUM(J158)</f>
        <v>0</v>
      </c>
      <c r="K159" s="502">
        <f t="shared" ref="K159:R159" si="526">SUM(K158)</f>
        <v>0</v>
      </c>
      <c r="L159" s="502">
        <f t="shared" si="526"/>
        <v>0</v>
      </c>
      <c r="M159" s="502">
        <f t="shared" si="526"/>
        <v>0</v>
      </c>
      <c r="N159" s="502">
        <f t="shared" si="526"/>
        <v>0</v>
      </c>
      <c r="O159" s="502">
        <f t="shared" si="526"/>
        <v>0</v>
      </c>
      <c r="P159" s="502">
        <f t="shared" si="526"/>
        <v>0</v>
      </c>
      <c r="Q159" s="502">
        <f t="shared" si="526"/>
        <v>0</v>
      </c>
      <c r="R159" s="502">
        <f t="shared" si="526"/>
        <v>0</v>
      </c>
      <c r="S159" s="505">
        <f t="shared" ref="S159" si="527">SUM(S158)</f>
        <v>0</v>
      </c>
      <c r="T159" s="502">
        <f>SUM(T158)</f>
        <v>0</v>
      </c>
      <c r="U159" s="506">
        <f>SUM(U158)</f>
        <v>0</v>
      </c>
      <c r="V159" s="505">
        <f>SUM(V158)</f>
        <v>0</v>
      </c>
      <c r="AB159" s="226"/>
      <c r="AC159" s="226"/>
      <c r="AD159" s="226"/>
      <c r="AE159" s="226"/>
      <c r="AS159" s="486"/>
      <c r="AT159" s="486"/>
      <c r="AU159" s="486"/>
      <c r="AV159" s="486"/>
      <c r="BE159" s="486"/>
      <c r="BF159" s="486"/>
      <c r="BG159" s="486"/>
      <c r="BH159" s="486"/>
      <c r="BL159" s="226"/>
      <c r="BM159" s="226"/>
      <c r="BN159" s="226"/>
      <c r="BO159" s="226"/>
      <c r="BX159" s="226"/>
      <c r="BY159" s="226"/>
      <c r="BZ159" s="226"/>
      <c r="CA159" s="226"/>
    </row>
    <row r="160" spans="1:79" ht="12.75" thickBot="1">
      <c r="A160" s="509" t="s">
        <v>23</v>
      </c>
      <c r="B160" s="510" t="s">
        <v>414</v>
      </c>
      <c r="C160" s="511">
        <f t="shared" ref="C160:I160" si="528">+C154+C157+C159</f>
        <v>1453505</v>
      </c>
      <c r="D160" s="512">
        <f t="shared" si="528"/>
        <v>394432</v>
      </c>
      <c r="E160" s="512">
        <f t="shared" si="528"/>
        <v>74075</v>
      </c>
      <c r="F160" s="512">
        <f t="shared" si="528"/>
        <v>47801</v>
      </c>
      <c r="G160" s="512">
        <f t="shared" si="528"/>
        <v>1215708</v>
      </c>
      <c r="H160" s="512">
        <f t="shared" si="528"/>
        <v>4022</v>
      </c>
      <c r="I160" s="513">
        <f t="shared" si="528"/>
        <v>838</v>
      </c>
      <c r="J160" s="514">
        <f t="shared" ref="J160" si="529">+J154+J157+J159</f>
        <v>3190381</v>
      </c>
      <c r="K160" s="511">
        <f t="shared" ref="K160:R160" si="530">+K154+K157+K159</f>
        <v>303189</v>
      </c>
      <c r="L160" s="511">
        <f t="shared" si="530"/>
        <v>45507</v>
      </c>
      <c r="M160" s="511">
        <f t="shared" si="530"/>
        <v>548566</v>
      </c>
      <c r="N160" s="511">
        <f t="shared" si="530"/>
        <v>43161</v>
      </c>
      <c r="O160" s="511">
        <f t="shared" si="530"/>
        <v>86352</v>
      </c>
      <c r="P160" s="511">
        <f t="shared" si="530"/>
        <v>769222</v>
      </c>
      <c r="Q160" s="511">
        <f t="shared" si="530"/>
        <v>248004</v>
      </c>
      <c r="R160" s="511">
        <f t="shared" si="530"/>
        <v>18</v>
      </c>
      <c r="S160" s="514">
        <f t="shared" ref="S160" si="531">+S154+S157+S159</f>
        <v>2044019</v>
      </c>
      <c r="T160" s="511">
        <f>+T154+T157+T159</f>
        <v>-1146362</v>
      </c>
      <c r="U160" s="513">
        <f>+U154+U157+U159</f>
        <v>2467948</v>
      </c>
      <c r="V160" s="514">
        <f>+V154+V157+V159</f>
        <v>-3614310</v>
      </c>
      <c r="AB160" s="226"/>
      <c r="AC160" s="226"/>
      <c r="AD160" s="226"/>
      <c r="AE160" s="226"/>
      <c r="AS160" s="486"/>
      <c r="AT160" s="486"/>
      <c r="AU160" s="486"/>
      <c r="AV160" s="486"/>
      <c r="BE160" s="486"/>
      <c r="BF160" s="486"/>
      <c r="BG160" s="486"/>
      <c r="BH160" s="486"/>
      <c r="BL160" s="226"/>
      <c r="BM160" s="226"/>
      <c r="BN160" s="226"/>
      <c r="BO160" s="226"/>
      <c r="BX160" s="226"/>
      <c r="BY160" s="226"/>
      <c r="BZ160" s="226"/>
      <c r="CA160" s="226"/>
    </row>
    <row r="161" spans="1:79" ht="12.75" thickBot="1">
      <c r="A161" s="520"/>
      <c r="B161" s="521"/>
      <c r="C161" s="522"/>
      <c r="D161" s="522"/>
      <c r="E161" s="522"/>
      <c r="F161" s="522"/>
      <c r="G161" s="522"/>
      <c r="H161" s="522"/>
      <c r="I161" s="769"/>
      <c r="J161" s="525"/>
      <c r="K161" s="522"/>
      <c r="L161" s="522"/>
      <c r="M161" s="522"/>
      <c r="N161" s="522"/>
      <c r="O161" s="522"/>
      <c r="P161" s="522"/>
      <c r="Q161" s="522"/>
      <c r="R161" s="522"/>
      <c r="S161" s="525"/>
      <c r="T161" s="522"/>
      <c r="U161" s="524"/>
      <c r="V161" s="525"/>
      <c r="AB161" s="226"/>
      <c r="AC161" s="226"/>
      <c r="AD161" s="226"/>
      <c r="AE161" s="226"/>
      <c r="AS161" s="486"/>
      <c r="AT161" s="486"/>
      <c r="AU161" s="486"/>
      <c r="AV161" s="486"/>
      <c r="BE161" s="486"/>
      <c r="BF161" s="486"/>
      <c r="BG161" s="486"/>
      <c r="BH161" s="486"/>
      <c r="BL161" s="226"/>
      <c r="BM161" s="226"/>
      <c r="BN161" s="226"/>
      <c r="BO161" s="226"/>
      <c r="BX161" s="226"/>
      <c r="BY161" s="226"/>
      <c r="BZ161" s="226"/>
      <c r="CA161" s="226"/>
    </row>
    <row r="162" spans="1:79">
      <c r="A162" s="770">
        <f>+A158+1</f>
        <v>12</v>
      </c>
      <c r="B162" s="771" t="s">
        <v>780</v>
      </c>
      <c r="C162" s="508">
        <f>+SUMIF('13.mell_ÖNKfeladatok2019'!$B$5:$B$159,'14.mell_Önk kiegészítés2019'!$A22,'13.mell_ÖNKfeladatok2019'!Q$5:Q$159)</f>
        <v>2447</v>
      </c>
      <c r="D162" s="508">
        <f>+SUMIF('13.mell_ÖNKfeladatok2019'!$B$5:$B$159,'14.mell_Önk kiegészítés2019'!$A22,'13.mell_ÖNKfeladatok2019'!U$5:U$159)</f>
        <v>0</v>
      </c>
      <c r="E162" s="508">
        <f>+SUMIF('13.mell_ÖNKfeladatok2019'!$B$5:$B$159,'14.mell_Önk kiegészítés2019'!$A22,'13.mell_ÖNKfeladatok2019'!Y$5:Y$159)</f>
        <v>8267</v>
      </c>
      <c r="F162" s="508">
        <f>+SUMIF('13.mell_ÖNKfeladatok2019'!$B$5:$B$159,'14.mell_Önk kiegészítés2019'!$A22,'13.mell_ÖNKfeladatok2019'!AC$5:AC$159)</f>
        <v>0</v>
      </c>
      <c r="G162" s="508">
        <f>+SUMIF('13.mell_ÖNKfeladatok2019'!$B$5:$B$159,'14.mell_Önk kiegészítés2019'!$A22,'13.mell_ÖNKfeladatok2019'!AK$5:AK$159)</f>
        <v>0</v>
      </c>
      <c r="H162" s="508">
        <f>+SUMIF('13.mell_ÖNKfeladatok2019'!$B$5:$B$159,'14.mell_Önk kiegészítés2019'!$A22,'13.mell_ÖNKfeladatok2019'!AO$5:AO$159)</f>
        <v>0</v>
      </c>
      <c r="I162" s="508">
        <f>+SUMIF('13.mell_ÖNKfeladatok2019'!$B$5:$B$159,'14.mell_Önk kiegészítés2019'!$A22,'13.mell_ÖNKfeladatok2019'!AS$5:AS$159)</f>
        <v>0</v>
      </c>
      <c r="J162" s="533">
        <f>SUM(C162:I162)</f>
        <v>10714</v>
      </c>
      <c r="K162" s="491">
        <f>+SUMIF('13.mell_ÖNKfeladatok2019'!$B$167:$B$321,'14.mell_Önk kiegészítés2019'!$A22,'13.mell_ÖNKfeladatok2019'!Q$167:Q$321)</f>
        <v>166972</v>
      </c>
      <c r="L162" s="491">
        <f>+SUMIF('13.mell_ÖNKfeladatok2019'!$B$167:$B$321,'14.mell_Önk kiegészítés2019'!$A22,'13.mell_ÖNKfeladatok2019'!U$167:U$321)</f>
        <v>33352</v>
      </c>
      <c r="M162" s="491">
        <f>+SUMIF('13.mell_ÖNKfeladatok2019'!$B$167:$B$321,'14.mell_Önk kiegészítés2019'!$A22,'13.mell_ÖNKfeladatok2019'!Y$167:Y$321)</f>
        <v>23248</v>
      </c>
      <c r="N162" s="491">
        <f>+SUMIF('13.mell_ÖNKfeladatok2019'!$B$167:$B$321,'14.mell_Önk kiegészítés2019'!$A22,'13.mell_ÖNKfeladatok2019'!AC$167:AC$321)</f>
        <v>0</v>
      </c>
      <c r="O162" s="491">
        <f>+SUMIF('13.mell_ÖNKfeladatok2019'!$B$167:$B$321,'14.mell_Önk kiegészítés2019'!$A22,'13.mell_ÖNKfeladatok2019'!AG$167:AG$321)</f>
        <v>0</v>
      </c>
      <c r="P162" s="491">
        <f>+SUMIF('13.mell_ÖNKfeladatok2019'!$B$167:$B$321,'14.mell_Önk kiegészítés2019'!$A22,'13.mell_ÖNKfeladatok2019'!AO$167:AO$321)</f>
        <v>1908</v>
      </c>
      <c r="Q162" s="491">
        <f>+SUMIF('13.mell_ÖNKfeladatok2019'!$B$167:$B$321,'14.mell_Önk kiegészítés2019'!$A22,'13.mell_ÖNKfeladatok2019'!AS$167:AS$321)</f>
        <v>0</v>
      </c>
      <c r="R162" s="491">
        <f>+SUMIF('13.mell_ÖNKfeladatok2019'!$B$167:$B$321,'14.mell_Önk kiegészítés2019'!$A22,'13.mell_ÖNKfeladatok2019'!AW$167:AW$321)</f>
        <v>0</v>
      </c>
      <c r="S162" s="533">
        <f>SUM(K162:R162)</f>
        <v>225480</v>
      </c>
      <c r="T162" s="492">
        <f>S162-J162</f>
        <v>214766</v>
      </c>
      <c r="U162" s="1079">
        <f>+ROUND(SUMIF('10.mell_támogatások2019'!$B$6:$B$137,'14.mell_Önk kiegészítés2019'!$A22,'10.mell_támogatások2019'!F$6:F$137)/1000,0)+26396+191+1490</f>
        <v>178185</v>
      </c>
      <c r="V162" s="493">
        <f>+T162-U162</f>
        <v>36581</v>
      </c>
      <c r="AB162" s="226"/>
      <c r="AC162" s="226">
        <f>0+(25496+900)</f>
        <v>26396</v>
      </c>
      <c r="AD162" s="226"/>
      <c r="AE162" s="226">
        <f>((0+(95+19))+(22+4))+(33+5)+13</f>
        <v>191</v>
      </c>
      <c r="AH162" s="226">
        <f>((17267+1490)+0)+0-17267</f>
        <v>1490</v>
      </c>
      <c r="AS162" s="486"/>
      <c r="AT162" s="486"/>
      <c r="AU162" s="486"/>
      <c r="AV162" s="486"/>
      <c r="BE162" s="486"/>
      <c r="BF162" s="486"/>
      <c r="BG162" s="486"/>
      <c r="BH162" s="486"/>
      <c r="BL162" s="226"/>
      <c r="BM162" s="226"/>
      <c r="BN162" s="226"/>
      <c r="BO162" s="226"/>
      <c r="BX162" s="226"/>
      <c r="BY162" s="226"/>
      <c r="BZ162" s="226"/>
      <c r="CA162" s="226"/>
    </row>
    <row r="163" spans="1:79">
      <c r="A163" s="735">
        <f>+A162+1</f>
        <v>13</v>
      </c>
      <c r="B163" s="494" t="s">
        <v>781</v>
      </c>
      <c r="C163" s="499">
        <f>+SUMIF('13.mell_ÖNKfeladatok2019'!$B$5:$B$159,'14.mell_Önk kiegészítés2019'!$A23,'13.mell_ÖNKfeladatok2019'!Q$5:Q$159)</f>
        <v>2893</v>
      </c>
      <c r="D163" s="499">
        <f>+SUMIF('13.mell_ÖNKfeladatok2019'!$B$5:$B$159,'14.mell_Önk kiegészítés2019'!$A23,'13.mell_ÖNKfeladatok2019'!U$5:U$159)</f>
        <v>0</v>
      </c>
      <c r="E163" s="499">
        <f>+SUMIF('13.mell_ÖNKfeladatok2019'!$B$5:$B$159,'14.mell_Önk kiegészítés2019'!$A23,'13.mell_ÖNKfeladatok2019'!Y$5:Y$159)</f>
        <v>0</v>
      </c>
      <c r="F163" s="499">
        <f>+SUMIF('13.mell_ÖNKfeladatok2019'!$B$5:$B$159,'14.mell_Önk kiegészítés2019'!$A23,'13.mell_ÖNKfeladatok2019'!AC$5:AC$159)</f>
        <v>0</v>
      </c>
      <c r="G163" s="499">
        <f>+SUMIF('13.mell_ÖNKfeladatok2019'!$B$5:$B$159,'14.mell_Önk kiegészítés2019'!$A23,'13.mell_ÖNKfeladatok2019'!AK$5:AK$159)</f>
        <v>0</v>
      </c>
      <c r="H163" s="499">
        <f>+SUMIF('13.mell_ÖNKfeladatok2019'!$B$5:$B$159,'14.mell_Önk kiegészítés2019'!$A23,'13.mell_ÖNKfeladatok2019'!AO$5:AO$159)</f>
        <v>0</v>
      </c>
      <c r="I163" s="499">
        <f>+SUMIF('13.mell_ÖNKfeladatok2019'!$B$5:$B$159,'14.mell_Önk kiegészítés2019'!$A23,'13.mell_ÖNKfeladatok2019'!AS$5:AS$159)</f>
        <v>0</v>
      </c>
      <c r="J163" s="534">
        <f>SUM(C163:I163)</f>
        <v>2893</v>
      </c>
      <c r="K163" s="495">
        <f>+SUMIF('13.mell_ÖNKfeladatok2019'!$B$167:$B$321,'14.mell_Önk kiegészítés2019'!$A23,'13.mell_ÖNKfeladatok2019'!Q$167:Q$321)</f>
        <v>18037</v>
      </c>
      <c r="L163" s="495">
        <f>+SUMIF('13.mell_ÖNKfeladatok2019'!$B$167:$B$321,'14.mell_Önk kiegészítés2019'!$A23,'13.mell_ÖNKfeladatok2019'!U$167:U$321)</f>
        <v>3049</v>
      </c>
      <c r="M163" s="495">
        <f>+SUMIF('13.mell_ÖNKfeladatok2019'!$B$167:$B$321,'14.mell_Önk kiegészítés2019'!$A23,'13.mell_ÖNKfeladatok2019'!Y$167:Y$321)</f>
        <v>11282</v>
      </c>
      <c r="N163" s="495">
        <f>+SUMIF('13.mell_ÖNKfeladatok2019'!$B$167:$B$321,'14.mell_Önk kiegészítés2019'!$A23,'13.mell_ÖNKfeladatok2019'!AC$167:AC$321)</f>
        <v>0</v>
      </c>
      <c r="O163" s="495">
        <f>+SUMIF('13.mell_ÖNKfeladatok2019'!$B$167:$B$321,'14.mell_Önk kiegészítés2019'!$A23,'13.mell_ÖNKfeladatok2019'!AG$167:AG$321)</f>
        <v>0</v>
      </c>
      <c r="P163" s="495">
        <f>+SUMIF('13.mell_ÖNKfeladatok2019'!$B$167:$B$321,'14.mell_Önk kiegészítés2019'!$A23,'13.mell_ÖNKfeladatok2019'!AO$167:AO$321)</f>
        <v>0</v>
      </c>
      <c r="Q163" s="495">
        <f>+SUMIF('13.mell_ÖNKfeladatok2019'!$B$167:$B$321,'14.mell_Önk kiegészítés2019'!$A23,'13.mell_ÖNKfeladatok2019'!AS$167:AS$321)</f>
        <v>0</v>
      </c>
      <c r="R163" s="495">
        <f>+SUMIF('13.mell_ÖNKfeladatok2019'!$B$167:$B$321,'14.mell_Önk kiegészítés2019'!$A23,'13.mell_ÖNKfeladatok2019'!AW$167:AW$321)</f>
        <v>0</v>
      </c>
      <c r="S163" s="534">
        <f>SUM(K163:R163)</f>
        <v>32368</v>
      </c>
      <c r="T163" s="496">
        <f>S163-J163</f>
        <v>29475</v>
      </c>
      <c r="U163" s="1080">
        <f>+ROUND(SUMIF('10.mell_támogatások2019'!$B$6:$B$137,'14.mell_Önk kiegészítés2019'!$A23,'10.mell_támogatások2019'!F$6:F$137)/1000,0)</f>
        <v>0</v>
      </c>
      <c r="V163" s="497">
        <f>+T163-U163</f>
        <v>29475</v>
      </c>
      <c r="AB163" s="226"/>
      <c r="AC163" s="226"/>
      <c r="AD163" s="226"/>
      <c r="AE163" s="226"/>
      <c r="AS163" s="486"/>
      <c r="AT163" s="486"/>
      <c r="AU163" s="486"/>
      <c r="AV163" s="486"/>
      <c r="BE163" s="486"/>
      <c r="BF163" s="486"/>
      <c r="BG163" s="486"/>
      <c r="BH163" s="486"/>
      <c r="BL163" s="226"/>
      <c r="BM163" s="226"/>
      <c r="BN163" s="226"/>
      <c r="BO163" s="226"/>
      <c r="BX163" s="226"/>
      <c r="BY163" s="226"/>
      <c r="BZ163" s="226"/>
      <c r="CA163" s="226"/>
    </row>
    <row r="164" spans="1:79" ht="12.75" thickBot="1">
      <c r="A164" s="735">
        <f>+A163+1</f>
        <v>14</v>
      </c>
      <c r="B164" s="498" t="s">
        <v>766</v>
      </c>
      <c r="C164" s="499">
        <f>+SUMIF('13.mell_ÖNKfeladatok2019'!$B$5:$B$159,'14.mell_Önk kiegészítés2019'!$A24,'13.mell_ÖNKfeladatok2019'!Q$5:Q$159)</f>
        <v>0</v>
      </c>
      <c r="D164" s="499">
        <f>+SUMIF('13.mell_ÖNKfeladatok2019'!$B$5:$B$159,'14.mell_Önk kiegészítés2019'!$A24,'13.mell_ÖNKfeladatok2019'!U$5:U$159)</f>
        <v>0</v>
      </c>
      <c r="E164" s="499">
        <f>+SUMIF('13.mell_ÖNKfeladatok2019'!$B$5:$B$159,'14.mell_Önk kiegészítés2019'!$A24,'13.mell_ÖNKfeladatok2019'!Y$5:Y$159)</f>
        <v>6111</v>
      </c>
      <c r="F164" s="499">
        <f>+SUMIF('13.mell_ÖNKfeladatok2019'!$B$5:$B$159,'14.mell_Önk kiegészítés2019'!$A24,'13.mell_ÖNKfeladatok2019'!AC$5:AC$159)</f>
        <v>0</v>
      </c>
      <c r="G164" s="499">
        <f>+SUMIF('13.mell_ÖNKfeladatok2019'!$B$5:$B$159,'14.mell_Önk kiegészítés2019'!$A24,'13.mell_ÖNKfeladatok2019'!AK$5:AK$159)</f>
        <v>0</v>
      </c>
      <c r="H164" s="499">
        <f>+SUMIF('13.mell_ÖNKfeladatok2019'!$B$5:$B$159,'14.mell_Önk kiegészítés2019'!$A24,'13.mell_ÖNKfeladatok2019'!AO$5:AO$159)</f>
        <v>0</v>
      </c>
      <c r="I164" s="499">
        <f>+SUMIF('13.mell_ÖNKfeladatok2019'!$B$5:$B$159,'14.mell_Önk kiegészítés2019'!$A24,'13.mell_ÖNKfeladatok2019'!AS$5:AS$159)</f>
        <v>0</v>
      </c>
      <c r="J164" s="534">
        <f>SUM(C164:I164)</f>
        <v>6111</v>
      </c>
      <c r="K164" s="495">
        <f>+SUMIF('13.mell_ÖNKfeladatok2019'!$B$167:$B$321,'14.mell_Önk kiegészítés2019'!$A24,'13.mell_ÖNKfeladatok2019'!Q$167:Q$321)</f>
        <v>93852</v>
      </c>
      <c r="L164" s="495">
        <f>+SUMIF('13.mell_ÖNKfeladatok2019'!$B$167:$B$321,'14.mell_Önk kiegészítés2019'!$A24,'13.mell_ÖNKfeladatok2019'!U$167:U$321)</f>
        <v>20965</v>
      </c>
      <c r="M164" s="495">
        <f>+SUMIF('13.mell_ÖNKfeladatok2019'!$B$167:$B$321,'14.mell_Önk kiegészítés2019'!$A24,'13.mell_ÖNKfeladatok2019'!Y$167:Y$321)</f>
        <v>6386</v>
      </c>
      <c r="N164" s="495">
        <f>+SUMIF('13.mell_ÖNKfeladatok2019'!$B$167:$B$321,'14.mell_Önk kiegészítés2019'!$A24,'13.mell_ÖNKfeladatok2019'!AC$167:AC$321)</f>
        <v>0</v>
      </c>
      <c r="O164" s="495">
        <f>+SUMIF('13.mell_ÖNKfeladatok2019'!$B$167:$B$321,'14.mell_Önk kiegészítés2019'!$A24,'13.mell_ÖNKfeladatok2019'!AG$167:AG$321)</f>
        <v>1985</v>
      </c>
      <c r="P164" s="495">
        <f>+SUMIF('13.mell_ÖNKfeladatok2019'!$B$167:$B$321,'14.mell_Önk kiegészítés2019'!$A24,'13.mell_ÖNKfeladatok2019'!AO$167:AO$321)</f>
        <v>536</v>
      </c>
      <c r="Q164" s="495">
        <f>+SUMIF('13.mell_ÖNKfeladatok2019'!$B$167:$B$321,'14.mell_Önk kiegészítés2019'!$A24,'13.mell_ÖNKfeladatok2019'!AS$167:AS$321)</f>
        <v>0</v>
      </c>
      <c r="R164" s="495">
        <f>+SUMIF('13.mell_ÖNKfeladatok2019'!$B$167:$B$321,'14.mell_Önk kiegészítés2019'!$A24,'13.mell_ÖNKfeladatok2019'!AW$167:AW$321)</f>
        <v>0</v>
      </c>
      <c r="S164" s="534">
        <f>SUM(K164:R164)</f>
        <v>123724</v>
      </c>
      <c r="T164" s="496">
        <f>S164-J164</f>
        <v>117613</v>
      </c>
      <c r="U164" s="1080">
        <f>+ROUND(SUMIF('10.mell_támogatások2019'!$B$6:$B$137,'14.mell_Önk kiegészítés2019'!$A24,'10.mell_támogatások2019'!F$6:F$137)/1000,0)+53636</f>
        <v>53636</v>
      </c>
      <c r="V164" s="497">
        <f>+T164-U164</f>
        <v>63977</v>
      </c>
      <c r="AB164" s="226">
        <v>53636</v>
      </c>
      <c r="AC164" s="226"/>
      <c r="AD164" s="226"/>
      <c r="AE164" s="226"/>
      <c r="AS164" s="486"/>
      <c r="AT164" s="486"/>
      <c r="AU164" s="486"/>
      <c r="AV164" s="486"/>
      <c r="BE164" s="486"/>
      <c r="BF164" s="486"/>
      <c r="BG164" s="486"/>
      <c r="BH164" s="486"/>
      <c r="BL164" s="226"/>
      <c r="BM164" s="226"/>
      <c r="BN164" s="226"/>
      <c r="BO164" s="226"/>
      <c r="BX164" s="226"/>
      <c r="BY164" s="226"/>
      <c r="BZ164" s="226"/>
      <c r="CA164" s="226"/>
    </row>
    <row r="165" spans="1:79" ht="12.75" thickBot="1">
      <c r="A165" s="500" t="s">
        <v>599</v>
      </c>
      <c r="B165" s="501" t="s">
        <v>873</v>
      </c>
      <c r="C165" s="502">
        <f t="shared" ref="C165:I165" si="532">SUM(C162:C164)</f>
        <v>5340</v>
      </c>
      <c r="D165" s="503">
        <f t="shared" si="532"/>
        <v>0</v>
      </c>
      <c r="E165" s="503">
        <f t="shared" si="532"/>
        <v>14378</v>
      </c>
      <c r="F165" s="503">
        <f t="shared" si="532"/>
        <v>0</v>
      </c>
      <c r="G165" s="503">
        <f t="shared" si="532"/>
        <v>0</v>
      </c>
      <c r="H165" s="503">
        <f t="shared" si="532"/>
        <v>0</v>
      </c>
      <c r="I165" s="504">
        <f t="shared" si="532"/>
        <v>0</v>
      </c>
      <c r="J165" s="505">
        <f t="shared" ref="J165" si="533">SUM(J162:J164)</f>
        <v>19718</v>
      </c>
      <c r="K165" s="502">
        <f t="shared" ref="K165:R165" si="534">SUM(K162:K164)</f>
        <v>278861</v>
      </c>
      <c r="L165" s="502">
        <f t="shared" si="534"/>
        <v>57366</v>
      </c>
      <c r="M165" s="502">
        <f t="shared" si="534"/>
        <v>40916</v>
      </c>
      <c r="N165" s="502">
        <f t="shared" si="534"/>
        <v>0</v>
      </c>
      <c r="O165" s="502">
        <f t="shared" si="534"/>
        <v>1985</v>
      </c>
      <c r="P165" s="502">
        <f t="shared" si="534"/>
        <v>2444</v>
      </c>
      <c r="Q165" s="502">
        <f t="shared" si="534"/>
        <v>0</v>
      </c>
      <c r="R165" s="502">
        <f t="shared" si="534"/>
        <v>0</v>
      </c>
      <c r="S165" s="505">
        <f t="shared" ref="S165" si="535">SUM(S162:S164)</f>
        <v>381572</v>
      </c>
      <c r="T165" s="502">
        <f>SUM(T162:T164)</f>
        <v>361854</v>
      </c>
      <c r="U165" s="506">
        <f>SUM(U162:U164)</f>
        <v>231821</v>
      </c>
      <c r="V165" s="505">
        <f>SUM(V162:V164)</f>
        <v>130033</v>
      </c>
      <c r="AB165" s="226"/>
      <c r="AC165" s="226"/>
      <c r="AD165" s="226"/>
      <c r="AE165" s="226"/>
      <c r="AS165" s="486"/>
      <c r="AT165" s="486"/>
      <c r="AU165" s="486"/>
      <c r="AV165" s="486"/>
      <c r="BE165" s="486"/>
      <c r="BF165" s="486"/>
      <c r="BG165" s="486"/>
      <c r="BH165" s="486"/>
      <c r="BL165" s="226"/>
      <c r="BM165" s="226"/>
      <c r="BN165" s="226"/>
      <c r="BO165" s="226"/>
      <c r="BX165" s="226"/>
      <c r="BY165" s="226"/>
      <c r="BZ165" s="226"/>
      <c r="CA165" s="226"/>
    </row>
    <row r="166" spans="1:79">
      <c r="A166" s="735">
        <f>+A164+1</f>
        <v>15</v>
      </c>
      <c r="B166" s="519" t="s">
        <v>417</v>
      </c>
      <c r="C166" s="491">
        <f>+SUMIF('13.mell_ÖNKfeladatok2019'!$B$5:$B$159,'14.mell_Önk kiegészítés2019'!$A26,'13.mell_ÖNKfeladatok2019'!Q$5:Q$159)</f>
        <v>0</v>
      </c>
      <c r="D166" s="491">
        <f>+SUMIF('13.mell_ÖNKfeladatok2019'!$B$5:$B$159,'14.mell_Önk kiegészítés2019'!$A26,'13.mell_ÖNKfeladatok2019'!U$5:U$159)</f>
        <v>0</v>
      </c>
      <c r="E166" s="491">
        <f>+SUMIF('13.mell_ÖNKfeladatok2019'!$B$5:$B$159,'14.mell_Önk kiegészítés2019'!$A26,'13.mell_ÖNKfeladatok2019'!Y$5:Y$159)</f>
        <v>26222</v>
      </c>
      <c r="F166" s="491">
        <f>+SUMIF('13.mell_ÖNKfeladatok2019'!$B$5:$B$159,'14.mell_Önk kiegészítés2019'!$A26,'13.mell_ÖNKfeladatok2019'!AC$5:AC$159)</f>
        <v>0</v>
      </c>
      <c r="G166" s="491">
        <f>+SUMIF('13.mell_ÖNKfeladatok2019'!$B$5:$B$159,'14.mell_Önk kiegészítés2019'!$A26,'13.mell_ÖNKfeladatok2019'!AK$5:AK$159)</f>
        <v>0</v>
      </c>
      <c r="H166" s="491">
        <f>+SUMIF('13.mell_ÖNKfeladatok2019'!$B$5:$B$159,'14.mell_Önk kiegészítés2019'!$A26,'13.mell_ÖNKfeladatok2019'!AO$5:AO$159)</f>
        <v>0</v>
      </c>
      <c r="I166" s="491">
        <f>+SUMIF('13.mell_ÖNKfeladatok2019'!$B$5:$B$159,'14.mell_Önk kiegészítés2019'!$A26,'13.mell_ÖNKfeladatok2019'!AS$5:AS$159)</f>
        <v>0</v>
      </c>
      <c r="J166" s="534">
        <f>SUM(C166:I166)</f>
        <v>26222</v>
      </c>
      <c r="K166" s="495">
        <f>+SUMIF('13.mell_ÖNKfeladatok2019'!$B$167:$B$321,'14.mell_Önk kiegészítés2019'!$A26,'13.mell_ÖNKfeladatok2019'!Q$167:Q$321)</f>
        <v>7432</v>
      </c>
      <c r="L166" s="495">
        <f>+SUMIF('13.mell_ÖNKfeladatok2019'!$B$167:$B$321,'14.mell_Önk kiegészítés2019'!$A26,'13.mell_ÖNKfeladatok2019'!U$167:U$321)</f>
        <v>1320</v>
      </c>
      <c r="M166" s="495">
        <f>+SUMIF('13.mell_ÖNKfeladatok2019'!$B$167:$B$321,'14.mell_Önk kiegészítés2019'!$A26,'13.mell_ÖNKfeladatok2019'!Y$167:Y$321)</f>
        <v>21116</v>
      </c>
      <c r="N166" s="495">
        <f>+SUMIF('13.mell_ÖNKfeladatok2019'!$B$167:$B$321,'14.mell_Önk kiegészítés2019'!$A26,'13.mell_ÖNKfeladatok2019'!AC$167:AC$321)</f>
        <v>0</v>
      </c>
      <c r="O166" s="495">
        <f>+SUMIF('13.mell_ÖNKfeladatok2019'!$B$167:$B$321,'14.mell_Önk kiegészítés2019'!$A26,'13.mell_ÖNKfeladatok2019'!AG$167:AG$321)</f>
        <v>0</v>
      </c>
      <c r="P166" s="495">
        <f>+SUMIF('13.mell_ÖNKfeladatok2019'!$B$167:$B$321,'14.mell_Önk kiegészítés2019'!$A26,'13.mell_ÖNKfeladatok2019'!AO$167:AO$321)</f>
        <v>4</v>
      </c>
      <c r="Q166" s="495">
        <f>+SUMIF('13.mell_ÖNKfeladatok2019'!$B$167:$B$321,'14.mell_Önk kiegészítés2019'!$A26,'13.mell_ÖNKfeladatok2019'!AS$167:AS$321)</f>
        <v>0</v>
      </c>
      <c r="R166" s="495">
        <f>+SUMIF('13.mell_ÖNKfeladatok2019'!$B$167:$B$321,'14.mell_Önk kiegészítés2019'!$A26,'13.mell_ÖNKfeladatok2019'!AW$167:AW$321)</f>
        <v>0</v>
      </c>
      <c r="S166" s="534">
        <f>SUM(K166:R166)</f>
        <v>29872</v>
      </c>
      <c r="T166" s="496">
        <f>S166-J166</f>
        <v>3650</v>
      </c>
      <c r="U166" s="1080">
        <f>+ROUND(SUMIF('10.mell_támogatások2019'!$B$6:$B$137,'14.mell_Önk kiegészítés2019'!$A26,'10.mell_támogatások2019'!F$6:F$137)/1000,0)</f>
        <v>0</v>
      </c>
      <c r="V166" s="497">
        <f>+T166-U166</f>
        <v>3650</v>
      </c>
      <c r="AB166" s="226"/>
      <c r="AC166" s="226"/>
      <c r="AD166" s="226"/>
      <c r="AE166" s="226"/>
      <c r="AS166" s="486"/>
      <c r="AT166" s="486"/>
      <c r="AU166" s="486"/>
      <c r="AV166" s="486"/>
      <c r="BE166" s="486"/>
      <c r="BF166" s="486"/>
      <c r="BG166" s="486"/>
      <c r="BH166" s="486"/>
      <c r="BL166" s="226"/>
      <c r="BM166" s="226"/>
      <c r="BN166" s="226"/>
      <c r="BO166" s="226"/>
      <c r="BX166" s="226"/>
      <c r="BY166" s="226"/>
      <c r="BZ166" s="226"/>
      <c r="CA166" s="226"/>
    </row>
    <row r="167" spans="1:79">
      <c r="A167" s="735">
        <f>+A166+1</f>
        <v>16</v>
      </c>
      <c r="B167" s="498" t="s">
        <v>656</v>
      </c>
      <c r="C167" s="499">
        <f>+SUMIF('13.mell_ÖNKfeladatok2019'!$B$5:$B$159,'14.mell_Önk kiegészítés2019'!$A27,'13.mell_ÖNKfeladatok2019'!Q$5:Q$159)</f>
        <v>0</v>
      </c>
      <c r="D167" s="499">
        <f>+SUMIF('13.mell_ÖNKfeladatok2019'!$B$5:$B$159,'14.mell_Önk kiegészítés2019'!$A27,'13.mell_ÖNKfeladatok2019'!U$5:U$159)</f>
        <v>0</v>
      </c>
      <c r="E167" s="499">
        <f>+SUMIF('13.mell_ÖNKfeladatok2019'!$B$5:$B$159,'14.mell_Önk kiegészítés2019'!$A27,'13.mell_ÖNKfeladatok2019'!Y$5:Y$159)</f>
        <v>0</v>
      </c>
      <c r="F167" s="499">
        <f>+SUMIF('13.mell_ÖNKfeladatok2019'!$B$5:$B$159,'14.mell_Önk kiegészítés2019'!$A27,'13.mell_ÖNKfeladatok2019'!AC$5:AC$159)</f>
        <v>0</v>
      </c>
      <c r="G167" s="499">
        <f>+SUMIF('13.mell_ÖNKfeladatok2019'!$B$5:$B$159,'14.mell_Önk kiegészítés2019'!$A27,'13.mell_ÖNKfeladatok2019'!AK$5:AK$159)</f>
        <v>0</v>
      </c>
      <c r="H167" s="499">
        <f>+SUMIF('13.mell_ÖNKfeladatok2019'!$B$5:$B$159,'14.mell_Önk kiegészítés2019'!$A27,'13.mell_ÖNKfeladatok2019'!AO$5:AO$159)</f>
        <v>0</v>
      </c>
      <c r="I167" s="499">
        <f>+SUMIF('13.mell_ÖNKfeladatok2019'!$B$5:$B$159,'14.mell_Önk kiegészítés2019'!$A27,'13.mell_ÖNKfeladatok2019'!AS$5:AS$159)</f>
        <v>0</v>
      </c>
      <c r="J167" s="535">
        <f>SUM(C167:I167)</f>
        <v>0</v>
      </c>
      <c r="K167" s="495">
        <f>+SUMIF('13.mell_ÖNKfeladatok2019'!$B$167:$B$321,'14.mell_Önk kiegészítés2019'!$A27,'13.mell_ÖNKfeladatok2019'!Q$167:Q$321)</f>
        <v>0</v>
      </c>
      <c r="L167" s="495">
        <f>+SUMIF('13.mell_ÖNKfeladatok2019'!$B$167:$B$321,'14.mell_Önk kiegészítés2019'!$A27,'13.mell_ÖNKfeladatok2019'!U$167:U$321)</f>
        <v>0</v>
      </c>
      <c r="M167" s="495">
        <f>+SUMIF('13.mell_ÖNKfeladatok2019'!$B$167:$B$321,'14.mell_Önk kiegészítés2019'!$A27,'13.mell_ÖNKfeladatok2019'!Y$167:Y$321)</f>
        <v>0</v>
      </c>
      <c r="N167" s="495">
        <f>+SUMIF('13.mell_ÖNKfeladatok2019'!$B$167:$B$321,'14.mell_Önk kiegészítés2019'!$A27,'13.mell_ÖNKfeladatok2019'!AC$167:AC$321)</f>
        <v>0</v>
      </c>
      <c r="O167" s="495">
        <f>+SUMIF('13.mell_ÖNKfeladatok2019'!$B$167:$B$321,'14.mell_Önk kiegészítés2019'!$A27,'13.mell_ÖNKfeladatok2019'!AG$167:AG$321)</f>
        <v>0</v>
      </c>
      <c r="P167" s="495">
        <f>+SUMIF('13.mell_ÖNKfeladatok2019'!$B$167:$B$321,'14.mell_Önk kiegészítés2019'!$A27,'13.mell_ÖNKfeladatok2019'!AO$167:AO$321)</f>
        <v>0</v>
      </c>
      <c r="Q167" s="495">
        <f>+SUMIF('13.mell_ÖNKfeladatok2019'!$B$167:$B$321,'14.mell_Önk kiegészítés2019'!$A27,'13.mell_ÖNKfeladatok2019'!AS$167:AS$321)</f>
        <v>0</v>
      </c>
      <c r="R167" s="495">
        <f>+SUMIF('13.mell_ÖNKfeladatok2019'!$B$167:$B$321,'14.mell_Önk kiegészítés2019'!$A27,'13.mell_ÖNKfeladatok2019'!AW$167:AW$321)</f>
        <v>0</v>
      </c>
      <c r="S167" s="534">
        <f>SUM(K167:R167)</f>
        <v>0</v>
      </c>
      <c r="T167" s="496">
        <f>S167-J167</f>
        <v>0</v>
      </c>
      <c r="U167" s="1080">
        <f>+ROUND(SUMIF('10.mell_támogatások2019'!$B$6:$B$137,'14.mell_Önk kiegészítés2019'!$A27,'10.mell_támogatások2019'!F$6:F$137)/1000,0)</f>
        <v>0</v>
      </c>
      <c r="V167" s="497">
        <f>+T167-U167</f>
        <v>0</v>
      </c>
      <c r="AB167" s="226"/>
      <c r="AC167" s="226"/>
      <c r="AD167" s="226"/>
      <c r="AE167" s="226"/>
      <c r="AS167" s="486"/>
      <c r="AT167" s="486"/>
      <c r="AU167" s="486"/>
      <c r="AV167" s="486"/>
      <c r="BE167" s="486"/>
      <c r="BF167" s="486"/>
      <c r="BG167" s="486"/>
      <c r="BH167" s="486"/>
      <c r="BL167" s="226"/>
      <c r="BM167" s="226"/>
      <c r="BN167" s="226"/>
      <c r="BO167" s="226"/>
      <c r="BX167" s="226"/>
      <c r="BY167" s="226"/>
      <c r="BZ167" s="226"/>
      <c r="CA167" s="226"/>
    </row>
    <row r="168" spans="1:79" ht="12.75" thickBot="1">
      <c r="A168" s="735">
        <f>+A167+1</f>
        <v>17</v>
      </c>
      <c r="B168" s="498" t="s">
        <v>898</v>
      </c>
      <c r="C168" s="499">
        <f>+SUMIF('13.mell_ÖNKfeladatok2019'!$B$5:$B$159,'14.mell_Önk kiegészítés2019'!$A28,'13.mell_ÖNKfeladatok2019'!Q$5:Q$159)</f>
        <v>0</v>
      </c>
      <c r="D168" s="499">
        <f>+SUMIF('13.mell_ÖNKfeladatok2019'!$B$5:$B$159,'14.mell_Önk kiegészítés2019'!$A28,'13.mell_ÖNKfeladatok2019'!U$5:U$159)</f>
        <v>0</v>
      </c>
      <c r="E168" s="499">
        <f>+SUMIF('13.mell_ÖNKfeladatok2019'!$B$5:$B$159,'14.mell_Önk kiegészítés2019'!$A28,'13.mell_ÖNKfeladatok2019'!Y$5:Y$159)</f>
        <v>0</v>
      </c>
      <c r="F168" s="499">
        <f>+SUMIF('13.mell_ÖNKfeladatok2019'!$B$5:$B$159,'14.mell_Önk kiegészítés2019'!$A28,'13.mell_ÖNKfeladatok2019'!AC$5:AC$159)</f>
        <v>0</v>
      </c>
      <c r="G168" s="499">
        <f>+SUMIF('13.mell_ÖNKfeladatok2019'!$B$5:$B$159,'14.mell_Önk kiegészítés2019'!$A28,'13.mell_ÖNKfeladatok2019'!AK$5:AK$159)</f>
        <v>0</v>
      </c>
      <c r="H168" s="499">
        <f>+SUMIF('13.mell_ÖNKfeladatok2019'!$B$5:$B$159,'14.mell_Önk kiegészítés2019'!$A28,'13.mell_ÖNKfeladatok2019'!AO$5:AO$159)</f>
        <v>0</v>
      </c>
      <c r="I168" s="499">
        <f>+SUMIF('13.mell_ÖNKfeladatok2019'!$B$5:$B$159,'14.mell_Önk kiegészítés2019'!$A28,'13.mell_ÖNKfeladatok2019'!AS$5:AS$159)</f>
        <v>0</v>
      </c>
      <c r="J168" s="535">
        <f>SUM(C168:I168)</f>
        <v>0</v>
      </c>
      <c r="K168" s="495">
        <f>+SUMIF('13.mell_ÖNKfeladatok2019'!$B$167:$B$321,'14.mell_Önk kiegészítés2019'!$A28,'13.mell_ÖNKfeladatok2019'!Q$167:Q$321)</f>
        <v>0</v>
      </c>
      <c r="L168" s="495">
        <f>+SUMIF('13.mell_ÖNKfeladatok2019'!$B$167:$B$321,'14.mell_Önk kiegészítés2019'!$A28,'13.mell_ÖNKfeladatok2019'!U$167:U$321)</f>
        <v>0</v>
      </c>
      <c r="M168" s="495">
        <f>+SUMIF('13.mell_ÖNKfeladatok2019'!$B$167:$B$321,'14.mell_Önk kiegészítés2019'!$A28,'13.mell_ÖNKfeladatok2019'!Y$167:Y$321)</f>
        <v>0</v>
      </c>
      <c r="N168" s="495">
        <f>+SUMIF('13.mell_ÖNKfeladatok2019'!$B$167:$B$321,'14.mell_Önk kiegészítés2019'!$A28,'13.mell_ÖNKfeladatok2019'!AC$167:AC$321)</f>
        <v>0</v>
      </c>
      <c r="O168" s="495">
        <f>+SUMIF('13.mell_ÖNKfeladatok2019'!$B$167:$B$321,'14.mell_Önk kiegészítés2019'!$A28,'13.mell_ÖNKfeladatok2019'!AG$167:AG$321)</f>
        <v>0</v>
      </c>
      <c r="P168" s="495">
        <f>+SUMIF('13.mell_ÖNKfeladatok2019'!$B$167:$B$321,'14.mell_Önk kiegészítés2019'!$A28,'13.mell_ÖNKfeladatok2019'!AO$167:AO$321)</f>
        <v>0</v>
      </c>
      <c r="Q168" s="495">
        <f>+SUMIF('13.mell_ÖNKfeladatok2019'!$B$167:$B$321,'14.mell_Önk kiegészítés2019'!$A28,'13.mell_ÖNKfeladatok2019'!AS$167:AS$321)</f>
        <v>0</v>
      </c>
      <c r="R168" s="495">
        <f>+SUMIF('13.mell_ÖNKfeladatok2019'!$B$167:$B$321,'14.mell_Önk kiegészítés2019'!$A28,'13.mell_ÖNKfeladatok2019'!AW$167:AW$321)</f>
        <v>0</v>
      </c>
      <c r="S168" s="534">
        <f>SUM(K168:R168)</f>
        <v>0</v>
      </c>
      <c r="T168" s="496">
        <f>S168-J168</f>
        <v>0</v>
      </c>
      <c r="U168" s="1080">
        <f>+ROUND(SUMIF('10.mell_támogatások2019'!$B$6:$B$137,'14.mell_Önk kiegészítés2019'!$A28,'10.mell_támogatások2019'!F$6:F$137)/1000,0)</f>
        <v>0</v>
      </c>
      <c r="V168" s="497">
        <f>+T168-U168</f>
        <v>0</v>
      </c>
      <c r="AB168" s="226"/>
      <c r="AC168" s="226"/>
      <c r="AD168" s="226"/>
      <c r="AE168" s="226"/>
      <c r="AS168" s="486"/>
      <c r="AT168" s="486"/>
      <c r="AU168" s="486"/>
      <c r="AV168" s="486"/>
      <c r="BE168" s="486"/>
      <c r="BF168" s="486"/>
      <c r="BG168" s="486"/>
      <c r="BH168" s="486"/>
      <c r="BL168" s="226"/>
      <c r="BM168" s="226"/>
      <c r="BN168" s="226"/>
      <c r="BO168" s="226"/>
      <c r="BX168" s="226"/>
      <c r="BY168" s="226"/>
      <c r="BZ168" s="226"/>
      <c r="CA168" s="226"/>
    </row>
    <row r="169" spans="1:79" ht="12.75" thickBot="1">
      <c r="A169" s="500" t="s">
        <v>641</v>
      </c>
      <c r="B169" s="501" t="s">
        <v>874</v>
      </c>
      <c r="C169" s="502">
        <f t="shared" ref="C169:I169" si="536">SUM(C166:C168)</f>
        <v>0</v>
      </c>
      <c r="D169" s="503">
        <f t="shared" si="536"/>
        <v>0</v>
      </c>
      <c r="E169" s="503">
        <f t="shared" si="536"/>
        <v>26222</v>
      </c>
      <c r="F169" s="503">
        <f t="shared" si="536"/>
        <v>0</v>
      </c>
      <c r="G169" s="503">
        <f t="shared" si="536"/>
        <v>0</v>
      </c>
      <c r="H169" s="503">
        <f t="shared" si="536"/>
        <v>0</v>
      </c>
      <c r="I169" s="506">
        <f t="shared" si="536"/>
        <v>0</v>
      </c>
      <c r="J169" s="505">
        <f t="shared" ref="J169" si="537">SUM(J166:J168)</f>
        <v>26222</v>
      </c>
      <c r="K169" s="502">
        <f t="shared" ref="K169:R169" si="538">SUM(K166:K168)</f>
        <v>7432</v>
      </c>
      <c r="L169" s="502">
        <f t="shared" si="538"/>
        <v>1320</v>
      </c>
      <c r="M169" s="502">
        <f t="shared" si="538"/>
        <v>21116</v>
      </c>
      <c r="N169" s="502">
        <f t="shared" si="538"/>
        <v>0</v>
      </c>
      <c r="O169" s="502">
        <f t="shared" si="538"/>
        <v>0</v>
      </c>
      <c r="P169" s="502">
        <f t="shared" si="538"/>
        <v>4</v>
      </c>
      <c r="Q169" s="502">
        <f t="shared" si="538"/>
        <v>0</v>
      </c>
      <c r="R169" s="502">
        <f t="shared" si="538"/>
        <v>0</v>
      </c>
      <c r="S169" s="505">
        <f t="shared" ref="S169" si="539">SUM(S166:S168)</f>
        <v>29872</v>
      </c>
      <c r="T169" s="502">
        <f>SUM(T166:T168)</f>
        <v>3650</v>
      </c>
      <c r="U169" s="506">
        <f>SUM(U166:U168)</f>
        <v>0</v>
      </c>
      <c r="V169" s="505">
        <f>SUM(V166:V168)</f>
        <v>3650</v>
      </c>
      <c r="AB169" s="226"/>
      <c r="AC169" s="226"/>
      <c r="AD169" s="226"/>
      <c r="AE169" s="226"/>
      <c r="AS169" s="486"/>
      <c r="AT169" s="486"/>
      <c r="AU169" s="486"/>
      <c r="AV169" s="486"/>
      <c r="BE169" s="486"/>
      <c r="BF169" s="486"/>
      <c r="BG169" s="486"/>
      <c r="BH169" s="486"/>
      <c r="BL169" s="226"/>
      <c r="BM169" s="226"/>
      <c r="BN169" s="226"/>
      <c r="BO169" s="226"/>
      <c r="BX169" s="226"/>
      <c r="BY169" s="226"/>
      <c r="BZ169" s="226"/>
      <c r="CA169" s="226"/>
    </row>
    <row r="170" spans="1:79" ht="12.75" thickBot="1">
      <c r="A170" s="735">
        <f>+A168+1</f>
        <v>18</v>
      </c>
      <c r="B170" s="507" t="s">
        <v>875</v>
      </c>
      <c r="C170" s="508">
        <f>+SUMIF('13.mell_ÖNKfeladatok2019'!$B$5:$B$159,'14.mell_Önk kiegészítés2019'!$A30,'13.mell_ÖNKfeladatok2019'!Q$5:Q$159)</f>
        <v>6522</v>
      </c>
      <c r="D170" s="508">
        <f>+SUMIF('13.mell_ÖNKfeladatok2019'!$B$5:$B$159,'14.mell_Önk kiegészítés2019'!$A30,'13.mell_ÖNKfeladatok2019'!U$5:U$159)</f>
        <v>0</v>
      </c>
      <c r="E170" s="508">
        <f>+SUMIF('13.mell_ÖNKfeladatok2019'!$B$5:$B$159,'14.mell_Önk kiegészítés2019'!$A30,'13.mell_ÖNKfeladatok2019'!Y$5:Y$159)</f>
        <v>0</v>
      </c>
      <c r="F170" s="508">
        <f>+SUMIF('13.mell_ÖNKfeladatok2019'!$B$5:$B$159,'14.mell_Önk kiegészítés2019'!$A30,'13.mell_ÖNKfeladatok2019'!AC$5:AC$159)</f>
        <v>0</v>
      </c>
      <c r="G170" s="508">
        <f>+SUMIF('13.mell_ÖNKfeladatok2019'!$B$5:$B$159,'14.mell_Önk kiegészítés2019'!$A30,'13.mell_ÖNKfeladatok2019'!AK$5:AK$159)</f>
        <v>0</v>
      </c>
      <c r="H170" s="508">
        <f>+SUMIF('13.mell_ÖNKfeladatok2019'!$B$5:$B$159,'14.mell_Önk kiegészítés2019'!$A30,'13.mell_ÖNKfeladatok2019'!AO$5:AO$159)</f>
        <v>0</v>
      </c>
      <c r="I170" s="508">
        <f>+SUMIF('13.mell_ÖNKfeladatok2019'!$B$5:$B$159,'14.mell_Önk kiegészítés2019'!$A30,'13.mell_ÖNKfeladatok2019'!AS$5:AS$159)</f>
        <v>0</v>
      </c>
      <c r="J170" s="536">
        <f>SUM(C170:I170)</f>
        <v>6522</v>
      </c>
      <c r="K170" s="495">
        <f>+SUMIF('13.mell_ÖNKfeladatok2019'!$B$167:$B$321,'14.mell_Önk kiegészítés2019'!$A30,'13.mell_ÖNKfeladatok2019'!Q$167:Q$321)</f>
        <v>5777</v>
      </c>
      <c r="L170" s="495">
        <f>+SUMIF('13.mell_ÖNKfeladatok2019'!$B$167:$B$321,'14.mell_Önk kiegészítés2019'!$A30,'13.mell_ÖNKfeladatok2019'!U$167:U$321)</f>
        <v>1161</v>
      </c>
      <c r="M170" s="495">
        <f>+SUMIF('13.mell_ÖNKfeladatok2019'!$B$167:$B$321,'14.mell_Önk kiegészítés2019'!$A30,'13.mell_ÖNKfeladatok2019'!Y$167:Y$321)</f>
        <v>274</v>
      </c>
      <c r="N170" s="495">
        <f>+SUMIF('13.mell_ÖNKfeladatok2019'!$B$167:$B$321,'14.mell_Önk kiegészítés2019'!$A30,'13.mell_ÖNKfeladatok2019'!AC$167:AC$321)</f>
        <v>0</v>
      </c>
      <c r="O170" s="495">
        <f>+SUMIF('13.mell_ÖNKfeladatok2019'!$B$167:$B$321,'14.mell_Önk kiegészítés2019'!$A30,'13.mell_ÖNKfeladatok2019'!AG$167:AG$321)</f>
        <v>0</v>
      </c>
      <c r="P170" s="495">
        <f>+SUMIF('13.mell_ÖNKfeladatok2019'!$B$167:$B$321,'14.mell_Önk kiegészítés2019'!$A30,'13.mell_ÖNKfeladatok2019'!AO$167:AO$321)</f>
        <v>0</v>
      </c>
      <c r="Q170" s="495">
        <f>+SUMIF('13.mell_ÖNKfeladatok2019'!$B$167:$B$321,'14.mell_Önk kiegészítés2019'!$A30,'13.mell_ÖNKfeladatok2019'!AS$167:AS$321)</f>
        <v>0</v>
      </c>
      <c r="R170" s="495">
        <f>+SUMIF('13.mell_ÖNKfeladatok2019'!$B$167:$B$321,'14.mell_Önk kiegészítés2019'!$A30,'13.mell_ÖNKfeladatok2019'!AW$167:AW$321)</f>
        <v>0</v>
      </c>
      <c r="S170" s="534">
        <f>SUM(K170:R170)</f>
        <v>7212</v>
      </c>
      <c r="T170" s="496">
        <f>S170-J170</f>
        <v>690</v>
      </c>
      <c r="U170" s="1080">
        <f>+ROUND(SUMIF('10.mell_támogatások2019'!$B$6:$B$137,'14.mell_Önk kiegészítés2019'!$A30,'10.mell_támogatások2019'!F$6:F$137)/1000,0)</f>
        <v>0</v>
      </c>
      <c r="V170" s="497">
        <f>+T170-U170</f>
        <v>690</v>
      </c>
      <c r="AB170" s="226"/>
      <c r="AC170" s="226"/>
      <c r="AD170" s="226"/>
      <c r="AE170" s="226"/>
      <c r="AS170" s="486"/>
      <c r="AT170" s="486"/>
      <c r="AU170" s="486"/>
      <c r="AV170" s="486"/>
      <c r="BE170" s="486"/>
      <c r="BF170" s="486"/>
      <c r="BG170" s="486"/>
      <c r="BH170" s="486"/>
      <c r="BL170" s="226"/>
      <c r="BM170" s="226"/>
      <c r="BN170" s="226"/>
      <c r="BO170" s="226"/>
      <c r="BX170" s="226"/>
      <c r="BY170" s="226"/>
      <c r="BZ170" s="226"/>
      <c r="CA170" s="226"/>
    </row>
    <row r="171" spans="1:79" ht="12.75" thickBot="1">
      <c r="A171" s="500" t="s">
        <v>753</v>
      </c>
      <c r="B171" s="501" t="s">
        <v>875</v>
      </c>
      <c r="C171" s="502">
        <f t="shared" ref="C171:I171" si="540">SUM(C170)</f>
        <v>6522</v>
      </c>
      <c r="D171" s="503">
        <f t="shared" si="540"/>
        <v>0</v>
      </c>
      <c r="E171" s="503">
        <f t="shared" si="540"/>
        <v>0</v>
      </c>
      <c r="F171" s="503">
        <f t="shared" si="540"/>
        <v>0</v>
      </c>
      <c r="G171" s="503">
        <f t="shared" si="540"/>
        <v>0</v>
      </c>
      <c r="H171" s="503">
        <f t="shared" si="540"/>
        <v>0</v>
      </c>
      <c r="I171" s="506">
        <f t="shared" si="540"/>
        <v>0</v>
      </c>
      <c r="J171" s="505">
        <f t="shared" ref="J171" si="541">SUM(J170)</f>
        <v>6522</v>
      </c>
      <c r="K171" s="502">
        <f t="shared" ref="K171:R171" si="542">SUM(K170)</f>
        <v>5777</v>
      </c>
      <c r="L171" s="502">
        <f t="shared" si="542"/>
        <v>1161</v>
      </c>
      <c r="M171" s="502">
        <f t="shared" si="542"/>
        <v>274</v>
      </c>
      <c r="N171" s="502">
        <f t="shared" si="542"/>
        <v>0</v>
      </c>
      <c r="O171" s="502">
        <f t="shared" si="542"/>
        <v>0</v>
      </c>
      <c r="P171" s="502">
        <f t="shared" si="542"/>
        <v>0</v>
      </c>
      <c r="Q171" s="502">
        <f t="shared" si="542"/>
        <v>0</v>
      </c>
      <c r="R171" s="502">
        <f t="shared" si="542"/>
        <v>0</v>
      </c>
      <c r="S171" s="505">
        <f t="shared" ref="S171" si="543">SUM(S170)</f>
        <v>7212</v>
      </c>
      <c r="T171" s="502">
        <f>SUM(T170)</f>
        <v>690</v>
      </c>
      <c r="U171" s="506">
        <f>SUM(U170)</f>
        <v>0</v>
      </c>
      <c r="V171" s="505">
        <f>SUM(V170)</f>
        <v>690</v>
      </c>
      <c r="AB171" s="226"/>
      <c r="AC171" s="226"/>
      <c r="AD171" s="226"/>
      <c r="AE171" s="226"/>
      <c r="AS171" s="486"/>
      <c r="AT171" s="486"/>
      <c r="AU171" s="486"/>
      <c r="AV171" s="486"/>
      <c r="BE171" s="486"/>
      <c r="BF171" s="486"/>
      <c r="BG171" s="486"/>
      <c r="BH171" s="486"/>
      <c r="BL171" s="226"/>
      <c r="BM171" s="226"/>
      <c r="BN171" s="226"/>
      <c r="BO171" s="226"/>
      <c r="BX171" s="226"/>
      <c r="BY171" s="226"/>
      <c r="BZ171" s="226"/>
      <c r="CA171" s="226"/>
    </row>
    <row r="172" spans="1:79" ht="12.75" thickBot="1">
      <c r="A172" s="509" t="s">
        <v>22</v>
      </c>
      <c r="B172" s="510" t="s">
        <v>876</v>
      </c>
      <c r="C172" s="511">
        <f t="shared" ref="C172:I172" si="544">+C165+C169+C171</f>
        <v>11862</v>
      </c>
      <c r="D172" s="512">
        <f t="shared" si="544"/>
        <v>0</v>
      </c>
      <c r="E172" s="512">
        <f t="shared" si="544"/>
        <v>40600</v>
      </c>
      <c r="F172" s="512">
        <f t="shared" si="544"/>
        <v>0</v>
      </c>
      <c r="G172" s="512">
        <f t="shared" si="544"/>
        <v>0</v>
      </c>
      <c r="H172" s="512">
        <f t="shared" si="544"/>
        <v>0</v>
      </c>
      <c r="I172" s="513">
        <f t="shared" si="544"/>
        <v>0</v>
      </c>
      <c r="J172" s="514">
        <f t="shared" ref="J172" si="545">+J165+J169+J171</f>
        <v>52462</v>
      </c>
      <c r="K172" s="511">
        <f t="shared" ref="K172:R172" si="546">+K165+K169+K171</f>
        <v>292070</v>
      </c>
      <c r="L172" s="511">
        <f t="shared" si="546"/>
        <v>59847</v>
      </c>
      <c r="M172" s="511">
        <f t="shared" si="546"/>
        <v>62306</v>
      </c>
      <c r="N172" s="511">
        <f t="shared" si="546"/>
        <v>0</v>
      </c>
      <c r="O172" s="511">
        <f t="shared" si="546"/>
        <v>1985</v>
      </c>
      <c r="P172" s="511">
        <f t="shared" si="546"/>
        <v>2448</v>
      </c>
      <c r="Q172" s="511">
        <f t="shared" si="546"/>
        <v>0</v>
      </c>
      <c r="R172" s="511">
        <f t="shared" si="546"/>
        <v>0</v>
      </c>
      <c r="S172" s="514">
        <f t="shared" ref="S172" si="547">+S165+S169+S171</f>
        <v>418656</v>
      </c>
      <c r="T172" s="511">
        <f>+T165+T169+T171</f>
        <v>366194</v>
      </c>
      <c r="U172" s="513">
        <f>+U165+U169+U171</f>
        <v>231821</v>
      </c>
      <c r="V172" s="514">
        <f>+V165+V169+V171</f>
        <v>134373</v>
      </c>
      <c r="AB172" s="226"/>
      <c r="AC172" s="226"/>
      <c r="AD172" s="226"/>
      <c r="AE172" s="226"/>
      <c r="AS172" s="486"/>
      <c r="AT172" s="486"/>
      <c r="AU172" s="486"/>
      <c r="AV172" s="486"/>
      <c r="BE172" s="486"/>
      <c r="BF172" s="486"/>
      <c r="BG172" s="486"/>
      <c r="BH172" s="486"/>
      <c r="BL172" s="226"/>
      <c r="BM172" s="226"/>
      <c r="BN172" s="226"/>
      <c r="BO172" s="226"/>
      <c r="BX172" s="226"/>
      <c r="BY172" s="226"/>
      <c r="BZ172" s="226"/>
      <c r="CA172" s="226"/>
    </row>
    <row r="173" spans="1:79" ht="12.75" thickBot="1">
      <c r="A173" s="520"/>
      <c r="B173" s="521"/>
      <c r="C173" s="522"/>
      <c r="D173" s="522"/>
      <c r="E173" s="522"/>
      <c r="F173" s="522"/>
      <c r="G173" s="522"/>
      <c r="H173" s="522"/>
      <c r="I173" s="769"/>
      <c r="J173" s="525"/>
      <c r="K173" s="522"/>
      <c r="L173" s="522"/>
      <c r="M173" s="522"/>
      <c r="N173" s="522"/>
      <c r="O173" s="522"/>
      <c r="P173" s="522"/>
      <c r="Q173" s="522"/>
      <c r="R173" s="522"/>
      <c r="S173" s="525"/>
      <c r="T173" s="522"/>
      <c r="U173" s="524"/>
      <c r="V173" s="525"/>
      <c r="AB173" s="226"/>
      <c r="AC173" s="226"/>
      <c r="AD173" s="226"/>
      <c r="AE173" s="226"/>
      <c r="AS173" s="486"/>
      <c r="AT173" s="486"/>
      <c r="AU173" s="486"/>
      <c r="AV173" s="486"/>
      <c r="BE173" s="486"/>
      <c r="BF173" s="486"/>
      <c r="BG173" s="486"/>
      <c r="BH173" s="486"/>
      <c r="BL173" s="226"/>
      <c r="BM173" s="226"/>
      <c r="BN173" s="226"/>
      <c r="BO173" s="226"/>
      <c r="BX173" s="226"/>
      <c r="BY173" s="226"/>
      <c r="BZ173" s="226"/>
      <c r="CA173" s="226"/>
    </row>
    <row r="174" spans="1:79">
      <c r="A174" s="734">
        <f>+A170+1</f>
        <v>19</v>
      </c>
      <c r="B174" s="668" t="s">
        <v>1089</v>
      </c>
      <c r="C174" s="772">
        <f>+SUMIF('13.mell_ÖNKfeladatok2019'!$B$5:$B$159,'14.mell_Önk kiegészítés2019'!$A34,'13.mell_ÖNKfeladatok2019'!Q$5:Q$159)</f>
        <v>0</v>
      </c>
      <c r="D174" s="772">
        <f>+SUMIF('13.mell_ÖNKfeladatok2019'!$B$5:$B$159,'14.mell_Önk kiegészítés2019'!$A34,'13.mell_ÖNKfeladatok2019'!U$5:U$159)</f>
        <v>0</v>
      </c>
      <c r="E174" s="772">
        <f>+SUMIF('13.mell_ÖNKfeladatok2019'!$B$5:$B$159,'14.mell_Önk kiegészítés2019'!$A34,'13.mell_ÖNKfeladatok2019'!Y$5:Y$159)</f>
        <v>3478</v>
      </c>
      <c r="F174" s="772">
        <f>+SUMIF('13.mell_ÖNKfeladatok2019'!$B$5:$B$159,'14.mell_Önk kiegészítés2019'!$A34,'13.mell_ÖNKfeladatok2019'!AC$5:AC$159)</f>
        <v>0</v>
      </c>
      <c r="G174" s="772">
        <f>+SUMIF('13.mell_ÖNKfeladatok2019'!$B$5:$B$159,'14.mell_Önk kiegészítés2019'!$A34,'13.mell_ÖNKfeladatok2019'!AK$5:AK$159)</f>
        <v>0</v>
      </c>
      <c r="H174" s="772">
        <f>+SUMIF('13.mell_ÖNKfeladatok2019'!$B$5:$B$159,'14.mell_Önk kiegészítés2019'!$A34,'13.mell_ÖNKfeladatok2019'!AO$5:AO$159)</f>
        <v>0</v>
      </c>
      <c r="I174" s="772">
        <f>+SUMIF('13.mell_ÖNKfeladatok2019'!$B$5:$B$159,'14.mell_Önk kiegészítés2019'!$A34,'13.mell_ÖNKfeladatok2019'!AS$5:AS$159)</f>
        <v>0</v>
      </c>
      <c r="J174" s="669">
        <f>SUM(C174:I174)</f>
        <v>3478</v>
      </c>
      <c r="K174" s="772">
        <f>+SUMIF('13.mell_ÖNKfeladatok2019'!$B$167:$B$321,'14.mell_Önk kiegészítés2019'!$A34,'13.mell_ÖNKfeladatok2019'!Q$167:Q$321)</f>
        <v>200553</v>
      </c>
      <c r="L174" s="772">
        <f>+SUMIF('13.mell_ÖNKfeladatok2019'!$B$167:$B$321,'14.mell_Önk kiegészítés2019'!$A34,'13.mell_ÖNKfeladatok2019'!U$167:U$321)</f>
        <v>41639</v>
      </c>
      <c r="M174" s="772">
        <f>+SUMIF('13.mell_ÖNKfeladatok2019'!$B$167:$B$321,'14.mell_Önk kiegészítés2019'!$A34,'13.mell_ÖNKfeladatok2019'!Y$167:Y$321)</f>
        <v>28545</v>
      </c>
      <c r="N174" s="772">
        <f>+SUMIF('13.mell_ÖNKfeladatok2019'!$B$167:$B$321,'14.mell_Önk kiegészítés2019'!$A34,'13.mell_ÖNKfeladatok2019'!AC$167:AC$321)</f>
        <v>0</v>
      </c>
      <c r="O174" s="772">
        <f>+SUMIF('13.mell_ÖNKfeladatok2019'!$B$167:$B$321,'14.mell_Önk kiegészítés2019'!$A34,'13.mell_ÖNKfeladatok2019'!AG$167:AG$321)</f>
        <v>206</v>
      </c>
      <c r="P174" s="772">
        <f>+SUMIF('13.mell_ÖNKfeladatok2019'!$B$167:$B$321,'14.mell_Önk kiegészítés2019'!$A34,'13.mell_ÖNKfeladatok2019'!AO$167:AO$321)</f>
        <v>615</v>
      </c>
      <c r="Q174" s="772">
        <f>+SUMIF('13.mell_ÖNKfeladatok2019'!$B$167:$B$321,'14.mell_Önk kiegészítés2019'!$A34,'13.mell_ÖNKfeladatok2019'!AS$167:AS$321)</f>
        <v>0</v>
      </c>
      <c r="R174" s="772">
        <f>+SUMIF('13.mell_ÖNKfeladatok2019'!$B$167:$B$321,'14.mell_Önk kiegészítés2019'!$A34,'13.mell_ÖNKfeladatok2019'!AW$167:AW$321)</f>
        <v>0</v>
      </c>
      <c r="S174" s="669">
        <f>SUM(K174:R174)</f>
        <v>271558</v>
      </c>
      <c r="T174" s="670">
        <f>S174-J174</f>
        <v>268080</v>
      </c>
      <c r="U174" s="1082">
        <f>+ROUND(SUMIF('10.mell_támogatások2019'!$B$6:$B$137,'14.mell_Önk kiegészítés2019'!$A34,'10.mell_támogatások2019'!F$6:F$137)/1000,0)+206</f>
        <v>236454</v>
      </c>
      <c r="V174" s="671">
        <f>+T174-U174</f>
        <v>31626</v>
      </c>
      <c r="AB174" s="226">
        <v>206</v>
      </c>
      <c r="AC174" s="226"/>
      <c r="AD174" s="226"/>
      <c r="AE174" s="226"/>
      <c r="AS174" s="486"/>
      <c r="AT174" s="486"/>
      <c r="AU174" s="486"/>
      <c r="AV174" s="486"/>
      <c r="BE174" s="486"/>
      <c r="BF174" s="486"/>
      <c r="BG174" s="486"/>
      <c r="BH174" s="486"/>
      <c r="BL174" s="226"/>
      <c r="BM174" s="226"/>
      <c r="BN174" s="226"/>
      <c r="BO174" s="226"/>
      <c r="BX174" s="226"/>
      <c r="BY174" s="226"/>
      <c r="BZ174" s="226"/>
      <c r="CA174" s="226"/>
    </row>
    <row r="175" spans="1:79">
      <c r="A175" s="735">
        <f>+A174+1</f>
        <v>20</v>
      </c>
      <c r="B175" s="494" t="s">
        <v>1168</v>
      </c>
      <c r="C175" s="495">
        <f>+SUMIF('13.mell_ÖNKfeladatok2019'!$B$5:$B$159,'14.mell_Önk kiegészítés2019'!$A35,'13.mell_ÖNKfeladatok2019'!Q$5:Q$159)</f>
        <v>0</v>
      </c>
      <c r="D175" s="495">
        <f>+SUMIF('13.mell_ÖNKfeladatok2019'!$B$5:$B$159,'14.mell_Önk kiegészítés2019'!$A35,'13.mell_ÖNKfeladatok2019'!U$5:U$159)</f>
        <v>0</v>
      </c>
      <c r="E175" s="495">
        <f>+SUMIF('13.mell_ÖNKfeladatok2019'!$B$5:$B$159,'14.mell_Önk kiegészítés2019'!$A35,'13.mell_ÖNKfeladatok2019'!Y$5:Y$159)</f>
        <v>10756</v>
      </c>
      <c r="F175" s="495">
        <f>+SUMIF('13.mell_ÖNKfeladatok2019'!$B$5:$B$159,'14.mell_Önk kiegészítés2019'!$A35,'13.mell_ÖNKfeladatok2019'!AC$5:AC$159)</f>
        <v>0</v>
      </c>
      <c r="G175" s="495">
        <f>+SUMIF('13.mell_ÖNKfeladatok2019'!$B$5:$B$159,'14.mell_Önk kiegészítés2019'!$A35,'13.mell_ÖNKfeladatok2019'!AK$5:AK$159)</f>
        <v>0</v>
      </c>
      <c r="H175" s="495">
        <f>+SUMIF('13.mell_ÖNKfeladatok2019'!$B$5:$B$159,'14.mell_Önk kiegészítés2019'!$A35,'13.mell_ÖNKfeladatok2019'!AO$5:AO$159)</f>
        <v>0</v>
      </c>
      <c r="I175" s="495">
        <f>+SUMIF('13.mell_ÖNKfeladatok2019'!$B$5:$B$159,'14.mell_Önk kiegészítés2019'!$A35,'13.mell_ÖNKfeladatok2019'!AS$5:AS$159)</f>
        <v>0</v>
      </c>
      <c r="J175" s="534">
        <f>SUM(C175:I175)</f>
        <v>10756</v>
      </c>
      <c r="K175" s="495">
        <f>+SUMIF('13.mell_ÖNKfeladatok2019'!$B$167:$B$321,'14.mell_Önk kiegészítés2019'!$A35,'13.mell_ÖNKfeladatok2019'!Q$167:Q$321)</f>
        <v>0</v>
      </c>
      <c r="L175" s="495">
        <f>+SUMIF('13.mell_ÖNKfeladatok2019'!$B$167:$B$321,'14.mell_Önk kiegészítés2019'!$A35,'13.mell_ÖNKfeladatok2019'!U$167:U$321)</f>
        <v>0</v>
      </c>
      <c r="M175" s="495">
        <f>+SUMIF('13.mell_ÖNKfeladatok2019'!$B$167:$B$321,'14.mell_Önk kiegészítés2019'!$A35,'13.mell_ÖNKfeladatok2019'!Y$167:Y$321)</f>
        <v>85899</v>
      </c>
      <c r="N175" s="495">
        <f>+SUMIF('13.mell_ÖNKfeladatok2019'!$B$167:$B$321,'14.mell_Önk kiegészítés2019'!$A35,'13.mell_ÖNKfeladatok2019'!AC$167:AC$321)</f>
        <v>0</v>
      </c>
      <c r="O175" s="495">
        <f>+SUMIF('13.mell_ÖNKfeladatok2019'!$B$167:$B$321,'14.mell_Önk kiegészítés2019'!$A35,'13.mell_ÖNKfeladatok2019'!AG$167:AG$321)</f>
        <v>0</v>
      </c>
      <c r="P175" s="495">
        <f>+SUMIF('13.mell_ÖNKfeladatok2019'!$B$167:$B$321,'14.mell_Önk kiegészítés2019'!$A35,'13.mell_ÖNKfeladatok2019'!AO$167:AO$321)</f>
        <v>5196</v>
      </c>
      <c r="Q175" s="495">
        <f>+SUMIF('13.mell_ÖNKfeladatok2019'!$B$167:$B$321,'14.mell_Önk kiegészítés2019'!$A35,'13.mell_ÖNKfeladatok2019'!AS$167:AS$321)</f>
        <v>0</v>
      </c>
      <c r="R175" s="495">
        <f>+SUMIF('13.mell_ÖNKfeladatok2019'!$B$167:$B$321,'14.mell_Önk kiegészítés2019'!$A35,'13.mell_ÖNKfeladatok2019'!AW$167:AW$321)</f>
        <v>0</v>
      </c>
      <c r="S175" s="534">
        <f>SUM(K175:R175)</f>
        <v>91095</v>
      </c>
      <c r="T175" s="496">
        <f>S175-J175</f>
        <v>80339</v>
      </c>
      <c r="U175" s="1080">
        <f>+ROUND(SUMIF('10.mell_támogatások2019'!$B$6:$B$137,'14.mell_Önk kiegészítés2019'!$A35,'10.mell_támogatások2019'!F$6:F$137)/1000,0)-1490</f>
        <v>66533</v>
      </c>
      <c r="V175" s="497">
        <f>+T175-U175</f>
        <v>13806</v>
      </c>
      <c r="AB175" s="226"/>
      <c r="AC175" s="226"/>
      <c r="AD175" s="226"/>
      <c r="AE175" s="226"/>
      <c r="AH175" s="226">
        <f>((-(1163+227+100))+0)+0</f>
        <v>-1490</v>
      </c>
      <c r="AS175" s="486"/>
      <c r="AT175" s="486"/>
      <c r="AU175" s="486"/>
      <c r="AV175" s="486"/>
      <c r="BE175" s="486"/>
      <c r="BF175" s="486"/>
      <c r="BG175" s="486"/>
      <c r="BH175" s="486"/>
      <c r="BL175" s="226"/>
      <c r="BM175" s="226"/>
      <c r="BN175" s="226"/>
      <c r="BO175" s="226"/>
      <c r="BX175" s="226"/>
      <c r="BY175" s="226"/>
      <c r="BZ175" s="226"/>
      <c r="CA175" s="226"/>
    </row>
    <row r="176" spans="1:79" ht="12.75" thickBot="1">
      <c r="A176" s="770">
        <f>+A175+1</f>
        <v>21</v>
      </c>
      <c r="B176" s="507" t="s">
        <v>1161</v>
      </c>
      <c r="C176" s="508">
        <f>+SUMIF('13.mell_ÖNKfeladatok2019'!$B$5:$B$159,'14.mell_Önk kiegészítés2019'!$A36,'13.mell_ÖNKfeladatok2019'!Q$5:Q$159)</f>
        <v>0</v>
      </c>
      <c r="D176" s="508">
        <f>+SUMIF('13.mell_ÖNKfeladatok2019'!$B$5:$B$159,'14.mell_Önk kiegészítés2019'!$A36,'13.mell_ÖNKfeladatok2019'!U$5:U$159)</f>
        <v>0</v>
      </c>
      <c r="E176" s="508">
        <f>+SUMIF('13.mell_ÖNKfeladatok2019'!$B$5:$B$159,'14.mell_Önk kiegészítés2019'!$A36,'13.mell_ÖNKfeladatok2019'!Y$5:Y$159)</f>
        <v>0</v>
      </c>
      <c r="F176" s="508">
        <f>+SUMIF('13.mell_ÖNKfeladatok2019'!$B$5:$B$159,'14.mell_Önk kiegészítés2019'!$A36,'13.mell_ÖNKfeladatok2019'!AC$5:AC$159)</f>
        <v>0</v>
      </c>
      <c r="G176" s="508">
        <f>+SUMIF('13.mell_ÖNKfeladatok2019'!$B$5:$B$159,'14.mell_Önk kiegészítés2019'!$A36,'13.mell_ÖNKfeladatok2019'!AK$5:AK$159)</f>
        <v>0</v>
      </c>
      <c r="H176" s="508">
        <f>+SUMIF('13.mell_ÖNKfeladatok2019'!$B$5:$B$159,'14.mell_Önk kiegészítés2019'!$A36,'13.mell_ÖNKfeladatok2019'!AO$5:AO$159)</f>
        <v>0</v>
      </c>
      <c r="I176" s="508">
        <f>+SUMIF('13.mell_ÖNKfeladatok2019'!$B$5:$B$159,'14.mell_Önk kiegészítés2019'!$A36,'13.mell_ÖNKfeladatok2019'!AS$5:AS$159)</f>
        <v>0</v>
      </c>
      <c r="J176" s="536">
        <f>SUM(C176:I176)</f>
        <v>0</v>
      </c>
      <c r="K176" s="491">
        <f>+SUMIF('13.mell_ÖNKfeladatok2019'!$B$167:$B$321,'14.mell_Önk kiegészítés2019'!$A36,'13.mell_ÖNKfeladatok2019'!Q$167:Q$321)</f>
        <v>28616</v>
      </c>
      <c r="L176" s="491">
        <f>+SUMIF('13.mell_ÖNKfeladatok2019'!$B$167:$B$321,'14.mell_Önk kiegészítés2019'!$A36,'13.mell_ÖNKfeladatok2019'!U$167:U$321)</f>
        <v>5646</v>
      </c>
      <c r="M176" s="491">
        <f>+SUMIF('13.mell_ÖNKfeladatok2019'!$B$167:$B$321,'14.mell_Önk kiegészítés2019'!$A36,'13.mell_ÖNKfeladatok2019'!Y$167:Y$321)</f>
        <v>3830</v>
      </c>
      <c r="N176" s="491">
        <f>+SUMIF('13.mell_ÖNKfeladatok2019'!$B$167:$B$321,'14.mell_Önk kiegészítés2019'!$A36,'13.mell_ÖNKfeladatok2019'!AC$167:AC$321)</f>
        <v>0</v>
      </c>
      <c r="O176" s="491">
        <f>+SUMIF('13.mell_ÖNKfeladatok2019'!$B$167:$B$321,'14.mell_Önk kiegészítés2019'!$A36,'13.mell_ÖNKfeladatok2019'!AG$167:AG$321)</f>
        <v>0</v>
      </c>
      <c r="P176" s="491">
        <f>+SUMIF('13.mell_ÖNKfeladatok2019'!$B$167:$B$321,'14.mell_Önk kiegészítés2019'!$A36,'13.mell_ÖNKfeladatok2019'!AO$167:AO$321)</f>
        <v>884</v>
      </c>
      <c r="Q176" s="491">
        <f>+SUMIF('13.mell_ÖNKfeladatok2019'!$B$167:$B$321,'14.mell_Önk kiegészítés2019'!$A36,'13.mell_ÖNKfeladatok2019'!AS$167:AS$321)</f>
        <v>0</v>
      </c>
      <c r="R176" s="491">
        <f>+SUMIF('13.mell_ÖNKfeladatok2019'!$B$167:$B$321,'14.mell_Önk kiegészítés2019'!$A36,'13.mell_ÖNKfeladatok2019'!AW$167:AW$321)</f>
        <v>0</v>
      </c>
      <c r="S176" s="533">
        <f>SUM(K176:R176)</f>
        <v>38976</v>
      </c>
      <c r="T176" s="492">
        <f>S176-J176</f>
        <v>38976</v>
      </c>
      <c r="U176" s="1079">
        <f>+ROUND(SUMIF('10.mell_támogatások2019'!$B$6:$B$137,'14.mell_Önk kiegészítés2019'!$A36,'10.mell_támogatások2019'!F$6:F$137)/1000,0)</f>
        <v>23732</v>
      </c>
      <c r="V176" s="493">
        <f>+T176-U176</f>
        <v>15244</v>
      </c>
      <c r="AB176" s="226"/>
      <c r="AC176" s="226"/>
      <c r="AD176" s="226"/>
      <c r="AE176" s="226"/>
      <c r="AS176" s="486"/>
      <c r="AT176" s="486"/>
      <c r="AU176" s="486"/>
      <c r="AV176" s="486"/>
      <c r="BE176" s="486"/>
      <c r="BF176" s="486"/>
      <c r="BG176" s="486"/>
      <c r="BH176" s="486"/>
      <c r="BL176" s="226"/>
      <c r="BM176" s="226"/>
      <c r="BN176" s="226"/>
      <c r="BO176" s="226"/>
      <c r="BX176" s="226"/>
      <c r="BY176" s="226"/>
      <c r="BZ176" s="226"/>
      <c r="CA176" s="226"/>
    </row>
    <row r="177" spans="1:79" ht="12.75" thickBot="1">
      <c r="A177" s="309" t="s">
        <v>754</v>
      </c>
      <c r="B177" s="450" t="s">
        <v>418</v>
      </c>
      <c r="C177" s="502">
        <f t="shared" ref="C177:I177" si="548">SUM(C174:C176)</f>
        <v>0</v>
      </c>
      <c r="D177" s="502">
        <f t="shared" si="548"/>
        <v>0</v>
      </c>
      <c r="E177" s="502">
        <f t="shared" si="548"/>
        <v>14234</v>
      </c>
      <c r="F177" s="502">
        <f t="shared" si="548"/>
        <v>0</v>
      </c>
      <c r="G177" s="502">
        <f t="shared" si="548"/>
        <v>0</v>
      </c>
      <c r="H177" s="502">
        <f t="shared" si="548"/>
        <v>0</v>
      </c>
      <c r="I177" s="502">
        <f t="shared" si="548"/>
        <v>0</v>
      </c>
      <c r="J177" s="505">
        <f t="shared" ref="J177" si="549">SUM(J174:J176)</f>
        <v>14234</v>
      </c>
      <c r="K177" s="502">
        <f t="shared" ref="K177:R177" si="550">SUM(K174:K176)</f>
        <v>229169</v>
      </c>
      <c r="L177" s="502">
        <f t="shared" si="550"/>
        <v>47285</v>
      </c>
      <c r="M177" s="502">
        <f t="shared" si="550"/>
        <v>118274</v>
      </c>
      <c r="N177" s="502">
        <f t="shared" si="550"/>
        <v>0</v>
      </c>
      <c r="O177" s="502">
        <f t="shared" si="550"/>
        <v>206</v>
      </c>
      <c r="P177" s="502">
        <f t="shared" si="550"/>
        <v>6695</v>
      </c>
      <c r="Q177" s="502">
        <f t="shared" si="550"/>
        <v>0</v>
      </c>
      <c r="R177" s="502">
        <f t="shared" si="550"/>
        <v>0</v>
      </c>
      <c r="S177" s="505">
        <f t="shared" ref="S177" si="551">SUM(S174:S176)</f>
        <v>401629</v>
      </c>
      <c r="T177" s="502">
        <f>SUM(T174:T176)</f>
        <v>387395</v>
      </c>
      <c r="U177" s="506">
        <f>SUM(U174:U176)</f>
        <v>326719</v>
      </c>
      <c r="V177" s="505">
        <f>SUM(V174:V176)</f>
        <v>60676</v>
      </c>
      <c r="AB177" s="226"/>
      <c r="AC177" s="226"/>
      <c r="AD177" s="226"/>
      <c r="AE177" s="226"/>
      <c r="AS177" s="486"/>
      <c r="AT177" s="486"/>
      <c r="AU177" s="486"/>
      <c r="AV177" s="486"/>
      <c r="BE177" s="486"/>
      <c r="BF177" s="486"/>
      <c r="BG177" s="486"/>
      <c r="BH177" s="486"/>
      <c r="BL177" s="226"/>
      <c r="BM177" s="226"/>
      <c r="BN177" s="226"/>
      <c r="BO177" s="226"/>
      <c r="BX177" s="226"/>
      <c r="BY177" s="226"/>
      <c r="BZ177" s="226"/>
      <c r="CA177" s="226"/>
    </row>
    <row r="178" spans="1:79" ht="12.75" thickBot="1">
      <c r="A178" s="773">
        <f>+A176+1</f>
        <v>22</v>
      </c>
      <c r="B178" s="507" t="s">
        <v>419</v>
      </c>
      <c r="C178" s="508">
        <f>+SUMIF('13.mell_ÖNKfeladatok2019'!$B$5:$B$159,'14.mell_Önk kiegészítés2019'!$A38,'13.mell_ÖNKfeladatok2019'!Q$5:Q$159)</f>
        <v>0</v>
      </c>
      <c r="D178" s="508">
        <f>+SUMIF('13.mell_ÖNKfeladatok2019'!$B$5:$B$159,'14.mell_Önk kiegészítés2019'!$A38,'13.mell_ÖNKfeladatok2019'!U$5:U$159)</f>
        <v>0</v>
      </c>
      <c r="E178" s="508">
        <f>+SUMIF('13.mell_ÖNKfeladatok2019'!$B$5:$B$159,'14.mell_Önk kiegészítés2019'!$A38,'13.mell_ÖNKfeladatok2019'!Y$5:Y$159)</f>
        <v>0</v>
      </c>
      <c r="F178" s="508">
        <f>+SUMIF('13.mell_ÖNKfeladatok2019'!$B$5:$B$159,'14.mell_Önk kiegészítés2019'!$A38,'13.mell_ÖNKfeladatok2019'!AC$5:AC$159)</f>
        <v>0</v>
      </c>
      <c r="G178" s="508">
        <f>+SUMIF('13.mell_ÖNKfeladatok2019'!$B$5:$B$159,'14.mell_Önk kiegészítés2019'!$A38,'13.mell_ÖNKfeladatok2019'!AK$5:AK$159)</f>
        <v>0</v>
      </c>
      <c r="H178" s="508">
        <f>+SUMIF('13.mell_ÖNKfeladatok2019'!$B$5:$B$159,'14.mell_Önk kiegészítés2019'!$A38,'13.mell_ÖNKfeladatok2019'!AO$5:AO$159)</f>
        <v>0</v>
      </c>
      <c r="I178" s="508">
        <f>+SUMIF('13.mell_ÖNKfeladatok2019'!$B$5:$B$159,'14.mell_Önk kiegészítés2019'!$A38,'13.mell_ÖNKfeladatok2019'!AS$5:AS$159)</f>
        <v>0</v>
      </c>
      <c r="J178" s="536">
        <f>SUM(C178:I178)</f>
        <v>0</v>
      </c>
      <c r="K178" s="499">
        <f>+SUMIF('13.mell_ÖNKfeladatok2019'!$B$167:$B$321,'14.mell_Önk kiegészítés2019'!$A38,'13.mell_ÖNKfeladatok2019'!Q$167:Q$321)</f>
        <v>0</v>
      </c>
      <c r="L178" s="499">
        <f>+SUMIF('13.mell_ÖNKfeladatok2019'!$B$167:$B$321,'14.mell_Önk kiegészítés2019'!$A38,'13.mell_ÖNKfeladatok2019'!U$167:U$321)</f>
        <v>0</v>
      </c>
      <c r="M178" s="499">
        <f>+SUMIF('13.mell_ÖNKfeladatok2019'!$B$167:$B$321,'14.mell_Önk kiegészítés2019'!$A38,'13.mell_ÖNKfeladatok2019'!Y$167:Y$321)</f>
        <v>0</v>
      </c>
      <c r="N178" s="499">
        <f>+SUMIF('13.mell_ÖNKfeladatok2019'!$B$167:$B$321,'14.mell_Önk kiegészítés2019'!$A38,'13.mell_ÖNKfeladatok2019'!AC$167:AC$321)</f>
        <v>0</v>
      </c>
      <c r="O178" s="499">
        <f>+SUMIF('13.mell_ÖNKfeladatok2019'!$B$167:$B$321,'14.mell_Önk kiegészítés2019'!$A38,'13.mell_ÖNKfeladatok2019'!AG$167:AG$321)</f>
        <v>0</v>
      </c>
      <c r="P178" s="499">
        <f>+SUMIF('13.mell_ÖNKfeladatok2019'!$B$167:$B$321,'14.mell_Önk kiegészítés2019'!$A38,'13.mell_ÖNKfeladatok2019'!AO$167:AO$321)</f>
        <v>0</v>
      </c>
      <c r="Q178" s="499">
        <f>+SUMIF('13.mell_ÖNKfeladatok2019'!$B$167:$B$321,'14.mell_Önk kiegészítés2019'!$A38,'13.mell_ÖNKfeladatok2019'!AS$167:AS$321)</f>
        <v>0</v>
      </c>
      <c r="R178" s="499">
        <f>+SUMIF('13.mell_ÖNKfeladatok2019'!$B$167:$B$321,'14.mell_Önk kiegészítés2019'!$A38,'13.mell_ÖNKfeladatok2019'!AW$167:AW$321)</f>
        <v>0</v>
      </c>
      <c r="S178" s="535">
        <f>SUM(K178:R178)</f>
        <v>0</v>
      </c>
      <c r="T178" s="774">
        <f>S178-J178</f>
        <v>0</v>
      </c>
      <c r="U178" s="1083">
        <f>+ROUND(SUMIF('10.mell_támogatások2019'!$B$6:$B$137,'14.mell_Önk kiegészítés2019'!$A38,'10.mell_támogatások2019'!F$6:F$137)/1000,0)</f>
        <v>0</v>
      </c>
      <c r="V178" s="775">
        <f>+T178-U178</f>
        <v>0</v>
      </c>
      <c r="AB178" s="226"/>
      <c r="AC178" s="226"/>
      <c r="AD178" s="226"/>
      <c r="AE178" s="226"/>
      <c r="AS178" s="486"/>
      <c r="AT178" s="486"/>
      <c r="AU178" s="486"/>
      <c r="AV178" s="486"/>
      <c r="BE178" s="486"/>
      <c r="BF178" s="486"/>
      <c r="BG178" s="486"/>
      <c r="BH178" s="486"/>
      <c r="BL178" s="226"/>
      <c r="BM178" s="226"/>
      <c r="BN178" s="226"/>
      <c r="BO178" s="226"/>
      <c r="BX178" s="226"/>
      <c r="BY178" s="226"/>
      <c r="BZ178" s="226"/>
      <c r="CA178" s="226"/>
    </row>
    <row r="179" spans="1:79" ht="12.75" thickBot="1">
      <c r="A179" s="309" t="s">
        <v>755</v>
      </c>
      <c r="B179" s="450" t="s">
        <v>419</v>
      </c>
      <c r="C179" s="502">
        <f t="shared" ref="C179:I179" si="552">SUM(C178)</f>
        <v>0</v>
      </c>
      <c r="D179" s="502">
        <f t="shared" si="552"/>
        <v>0</v>
      </c>
      <c r="E179" s="502">
        <f t="shared" si="552"/>
        <v>0</v>
      </c>
      <c r="F179" s="502">
        <f t="shared" si="552"/>
        <v>0</v>
      </c>
      <c r="G179" s="502">
        <f t="shared" si="552"/>
        <v>0</v>
      </c>
      <c r="H179" s="502">
        <f t="shared" si="552"/>
        <v>0</v>
      </c>
      <c r="I179" s="502">
        <f t="shared" si="552"/>
        <v>0</v>
      </c>
      <c r="J179" s="505">
        <f t="shared" ref="J179" si="553">SUM(J178)</f>
        <v>0</v>
      </c>
      <c r="K179" s="502">
        <f t="shared" ref="K179:R179" si="554">SUM(K178)</f>
        <v>0</v>
      </c>
      <c r="L179" s="502">
        <f t="shared" si="554"/>
        <v>0</v>
      </c>
      <c r="M179" s="502">
        <f t="shared" si="554"/>
        <v>0</v>
      </c>
      <c r="N179" s="502">
        <f t="shared" si="554"/>
        <v>0</v>
      </c>
      <c r="O179" s="502">
        <f t="shared" si="554"/>
        <v>0</v>
      </c>
      <c r="P179" s="502">
        <f t="shared" si="554"/>
        <v>0</v>
      </c>
      <c r="Q179" s="502">
        <f t="shared" si="554"/>
        <v>0</v>
      </c>
      <c r="R179" s="502">
        <f t="shared" si="554"/>
        <v>0</v>
      </c>
      <c r="S179" s="505">
        <f t="shared" ref="S179" si="555">SUM(S178)</f>
        <v>0</v>
      </c>
      <c r="T179" s="502">
        <f>SUM(T178)</f>
        <v>0</v>
      </c>
      <c r="U179" s="506">
        <f>SUM(U178)</f>
        <v>0</v>
      </c>
      <c r="V179" s="505">
        <f>SUM(V178)</f>
        <v>0</v>
      </c>
      <c r="AB179" s="226"/>
      <c r="AC179" s="226"/>
      <c r="AD179" s="226"/>
      <c r="AE179" s="226"/>
      <c r="AS179" s="486"/>
      <c r="AT179" s="486"/>
      <c r="AU179" s="486"/>
      <c r="AV179" s="486"/>
      <c r="BE179" s="486"/>
      <c r="BF179" s="486"/>
      <c r="BG179" s="486"/>
      <c r="BH179" s="486"/>
      <c r="BL179" s="226"/>
      <c r="BM179" s="226"/>
      <c r="BN179" s="226"/>
      <c r="BO179" s="226"/>
      <c r="BX179" s="226"/>
      <c r="BY179" s="226"/>
      <c r="BZ179" s="226"/>
      <c r="CA179" s="226"/>
    </row>
    <row r="180" spans="1:79" ht="12.75" thickBot="1">
      <c r="A180" s="773">
        <f>+A178+1</f>
        <v>23</v>
      </c>
      <c r="B180" s="507" t="s">
        <v>773</v>
      </c>
      <c r="C180" s="508">
        <f>+SUMIF('13.mell_ÖNKfeladatok2019'!$B$5:$B$159,'14.mell_Önk kiegészítés2019'!$A40,'13.mell_ÖNKfeladatok2019'!Q$5:Q$159)</f>
        <v>0</v>
      </c>
      <c r="D180" s="508">
        <f>+SUMIF('13.mell_ÖNKfeladatok2019'!$B$5:$B$159,'14.mell_Önk kiegészítés2019'!$A40,'13.mell_ÖNKfeladatok2019'!U$5:U$159)</f>
        <v>0</v>
      </c>
      <c r="E180" s="508">
        <f>+SUMIF('13.mell_ÖNKfeladatok2019'!$B$5:$B$159,'14.mell_Önk kiegészítés2019'!$A40,'13.mell_ÖNKfeladatok2019'!Y$5:Y$159)</f>
        <v>0</v>
      </c>
      <c r="F180" s="508">
        <f>+SUMIF('13.mell_ÖNKfeladatok2019'!$B$5:$B$159,'14.mell_Önk kiegészítés2019'!$A40,'13.mell_ÖNKfeladatok2019'!AC$5:AC$159)</f>
        <v>0</v>
      </c>
      <c r="G180" s="508">
        <f>+SUMIF('13.mell_ÖNKfeladatok2019'!$B$5:$B$159,'14.mell_Önk kiegészítés2019'!$A40,'13.mell_ÖNKfeladatok2019'!AK$5:AK$159)</f>
        <v>0</v>
      </c>
      <c r="H180" s="508">
        <f>+SUMIF('13.mell_ÖNKfeladatok2019'!$B$5:$B$159,'14.mell_Önk kiegészítés2019'!$A40,'13.mell_ÖNKfeladatok2019'!AO$5:AO$159)</f>
        <v>0</v>
      </c>
      <c r="I180" s="508">
        <f>+SUMIF('13.mell_ÖNKfeladatok2019'!$B$5:$B$159,'14.mell_Önk kiegészítés2019'!$A40,'13.mell_ÖNKfeladatok2019'!AS$5:AS$159)</f>
        <v>0</v>
      </c>
      <c r="J180" s="536">
        <f>SUM(C180:I180)</f>
        <v>0</v>
      </c>
      <c r="K180" s="499">
        <f>+SUMIF('13.mell_ÖNKfeladatok2019'!$B$167:$B$321,'14.mell_Önk kiegészítés2019'!$A40,'13.mell_ÖNKfeladatok2019'!Q$167:Q$321)</f>
        <v>0</v>
      </c>
      <c r="L180" s="499">
        <f>+SUMIF('13.mell_ÖNKfeladatok2019'!$B$167:$B$321,'14.mell_Önk kiegészítés2019'!$A40,'13.mell_ÖNKfeladatok2019'!U$167:U$321)</f>
        <v>0</v>
      </c>
      <c r="M180" s="499">
        <f>+SUMIF('13.mell_ÖNKfeladatok2019'!$B$167:$B$321,'14.mell_Önk kiegészítés2019'!$A40,'13.mell_ÖNKfeladatok2019'!Y$167:Y$321)</f>
        <v>0</v>
      </c>
      <c r="N180" s="499">
        <f>+SUMIF('13.mell_ÖNKfeladatok2019'!$B$167:$B$321,'14.mell_Önk kiegészítés2019'!$A40,'13.mell_ÖNKfeladatok2019'!AC$167:AC$321)</f>
        <v>0</v>
      </c>
      <c r="O180" s="499">
        <f>+SUMIF('13.mell_ÖNKfeladatok2019'!$B$167:$B$321,'14.mell_Önk kiegészítés2019'!$A40,'13.mell_ÖNKfeladatok2019'!AG$167:AG$321)</f>
        <v>0</v>
      </c>
      <c r="P180" s="499">
        <f>+SUMIF('13.mell_ÖNKfeladatok2019'!$B$167:$B$321,'14.mell_Önk kiegészítés2019'!$A40,'13.mell_ÖNKfeladatok2019'!AO$167:AO$321)</f>
        <v>0</v>
      </c>
      <c r="Q180" s="499">
        <f>+SUMIF('13.mell_ÖNKfeladatok2019'!$B$167:$B$321,'14.mell_Önk kiegészítés2019'!$A40,'13.mell_ÖNKfeladatok2019'!AS$167:AS$321)</f>
        <v>0</v>
      </c>
      <c r="R180" s="499">
        <f>+SUMIF('13.mell_ÖNKfeladatok2019'!$B$167:$B$321,'14.mell_Önk kiegészítés2019'!$A40,'13.mell_ÖNKfeladatok2019'!AW$167:AW$321)</f>
        <v>0</v>
      </c>
      <c r="S180" s="535">
        <f>SUM(K180:R180)</f>
        <v>0</v>
      </c>
      <c r="T180" s="774">
        <f>S180-J180</f>
        <v>0</v>
      </c>
      <c r="U180" s="1083">
        <f>+ROUND(SUMIF('10.mell_támogatások2019'!$B$6:$B$137,'14.mell_Önk kiegészítés2019'!$A40,'10.mell_támogatások2019'!F$6:F$137)/1000,0)</f>
        <v>0</v>
      </c>
      <c r="V180" s="775">
        <f>+T180-U180</f>
        <v>0</v>
      </c>
      <c r="AB180" s="226"/>
      <c r="AC180" s="226"/>
      <c r="AD180" s="226"/>
      <c r="AE180" s="226"/>
      <c r="AS180" s="486"/>
      <c r="AT180" s="486"/>
      <c r="AU180" s="486"/>
      <c r="AV180" s="486"/>
      <c r="BE180" s="486"/>
      <c r="BF180" s="486"/>
      <c r="BG180" s="486"/>
      <c r="BH180" s="486"/>
      <c r="BL180" s="226"/>
      <c r="BM180" s="226"/>
      <c r="BN180" s="226"/>
      <c r="BO180" s="226"/>
      <c r="BX180" s="226"/>
      <c r="BY180" s="226"/>
      <c r="BZ180" s="226"/>
      <c r="CA180" s="226"/>
    </row>
    <row r="181" spans="1:79" ht="12.75" thickBot="1">
      <c r="A181" s="309" t="s">
        <v>756</v>
      </c>
      <c r="B181" s="450" t="s">
        <v>773</v>
      </c>
      <c r="C181" s="502">
        <f t="shared" ref="C181:I181" si="556">SUM(C180)</f>
        <v>0</v>
      </c>
      <c r="D181" s="502">
        <f t="shared" si="556"/>
        <v>0</v>
      </c>
      <c r="E181" s="502">
        <f t="shared" si="556"/>
        <v>0</v>
      </c>
      <c r="F181" s="502">
        <f t="shared" si="556"/>
        <v>0</v>
      </c>
      <c r="G181" s="502">
        <f t="shared" si="556"/>
        <v>0</v>
      </c>
      <c r="H181" s="502">
        <f t="shared" si="556"/>
        <v>0</v>
      </c>
      <c r="I181" s="502">
        <f t="shared" si="556"/>
        <v>0</v>
      </c>
      <c r="J181" s="505">
        <f t="shared" ref="J181" si="557">SUM(J180)</f>
        <v>0</v>
      </c>
      <c r="K181" s="502">
        <f t="shared" ref="K181:R181" si="558">SUM(K180)</f>
        <v>0</v>
      </c>
      <c r="L181" s="502">
        <f t="shared" si="558"/>
        <v>0</v>
      </c>
      <c r="M181" s="502">
        <f t="shared" si="558"/>
        <v>0</v>
      </c>
      <c r="N181" s="502">
        <f t="shared" si="558"/>
        <v>0</v>
      </c>
      <c r="O181" s="502">
        <f t="shared" si="558"/>
        <v>0</v>
      </c>
      <c r="P181" s="502">
        <f t="shared" si="558"/>
        <v>0</v>
      </c>
      <c r="Q181" s="502">
        <f t="shared" si="558"/>
        <v>0</v>
      </c>
      <c r="R181" s="502">
        <f t="shared" si="558"/>
        <v>0</v>
      </c>
      <c r="S181" s="505">
        <f t="shared" ref="S181" si="559">SUM(S180)</f>
        <v>0</v>
      </c>
      <c r="T181" s="502">
        <f>SUM(T180)</f>
        <v>0</v>
      </c>
      <c r="U181" s="506">
        <f>SUM(U180)</f>
        <v>0</v>
      </c>
      <c r="V181" s="505">
        <f>SUM(V180)</f>
        <v>0</v>
      </c>
      <c r="AA181" s="486"/>
      <c r="AB181" s="226"/>
      <c r="AD181" s="226"/>
      <c r="AE181" s="226"/>
      <c r="AS181" s="486"/>
      <c r="AT181" s="486"/>
      <c r="AU181" s="486"/>
      <c r="AV181" s="486"/>
      <c r="BE181" s="486"/>
      <c r="BF181" s="486"/>
      <c r="BG181" s="486"/>
      <c r="BH181" s="486"/>
      <c r="BL181" s="226"/>
      <c r="BM181" s="226"/>
      <c r="BN181" s="226"/>
      <c r="BO181" s="226"/>
      <c r="BX181" s="226"/>
      <c r="BY181" s="226"/>
      <c r="BZ181" s="226"/>
      <c r="CA181" s="226"/>
    </row>
    <row r="182" spans="1:79" ht="12.75" thickBot="1">
      <c r="A182" s="452" t="s">
        <v>21</v>
      </c>
      <c r="B182" s="462" t="s">
        <v>420</v>
      </c>
      <c r="C182" s="511">
        <f t="shared" ref="C182:I182" si="560">+C177+C179+C181</f>
        <v>0</v>
      </c>
      <c r="D182" s="512">
        <f t="shared" si="560"/>
        <v>0</v>
      </c>
      <c r="E182" s="512">
        <f t="shared" si="560"/>
        <v>14234</v>
      </c>
      <c r="F182" s="512">
        <f t="shared" si="560"/>
        <v>0</v>
      </c>
      <c r="G182" s="512">
        <f t="shared" si="560"/>
        <v>0</v>
      </c>
      <c r="H182" s="512">
        <f t="shared" si="560"/>
        <v>0</v>
      </c>
      <c r="I182" s="513">
        <f t="shared" si="560"/>
        <v>0</v>
      </c>
      <c r="J182" s="514">
        <f t="shared" ref="J182" si="561">+J177+J179+J181</f>
        <v>14234</v>
      </c>
      <c r="K182" s="511">
        <f t="shared" ref="K182:R182" si="562">+K177+K179+K181</f>
        <v>229169</v>
      </c>
      <c r="L182" s="511">
        <f t="shared" si="562"/>
        <v>47285</v>
      </c>
      <c r="M182" s="511">
        <f t="shared" si="562"/>
        <v>118274</v>
      </c>
      <c r="N182" s="511">
        <f t="shared" si="562"/>
        <v>0</v>
      </c>
      <c r="O182" s="511">
        <f t="shared" si="562"/>
        <v>206</v>
      </c>
      <c r="P182" s="511">
        <f t="shared" si="562"/>
        <v>6695</v>
      </c>
      <c r="Q182" s="511">
        <f t="shared" si="562"/>
        <v>0</v>
      </c>
      <c r="R182" s="511">
        <f t="shared" si="562"/>
        <v>0</v>
      </c>
      <c r="S182" s="514">
        <f t="shared" ref="S182" si="563">+S177+S179+S181</f>
        <v>401629</v>
      </c>
      <c r="T182" s="511">
        <f>+T177+T179+T181</f>
        <v>387395</v>
      </c>
      <c r="U182" s="513">
        <f>+U177+U179+U181</f>
        <v>326719</v>
      </c>
      <c r="V182" s="514">
        <f>+V177+V179+V181</f>
        <v>60676</v>
      </c>
      <c r="AA182" s="486"/>
      <c r="AB182" s="226"/>
      <c r="AD182" s="226"/>
      <c r="AE182" s="226"/>
      <c r="AS182" s="486"/>
      <c r="AT182" s="486"/>
      <c r="AU182" s="486"/>
      <c r="AV182" s="486"/>
      <c r="BE182" s="486"/>
      <c r="BF182" s="486"/>
      <c r="BG182" s="486"/>
      <c r="BH182" s="486"/>
      <c r="BL182" s="226"/>
      <c r="BM182" s="226"/>
      <c r="BN182" s="226"/>
      <c r="BO182" s="226"/>
      <c r="BX182" s="226"/>
      <c r="BY182" s="226"/>
      <c r="BZ182" s="226"/>
      <c r="CA182" s="226"/>
    </row>
    <row r="183" spans="1:79" ht="12.75" thickBot="1">
      <c r="A183" s="309"/>
      <c r="B183" s="450"/>
      <c r="C183" s="522"/>
      <c r="D183" s="523"/>
      <c r="E183" s="523"/>
      <c r="F183" s="523"/>
      <c r="G183" s="523"/>
      <c r="H183" s="523"/>
      <c r="I183" s="524"/>
      <c r="J183" s="525"/>
      <c r="K183" s="522"/>
      <c r="L183" s="522"/>
      <c r="M183" s="522"/>
      <c r="N183" s="522"/>
      <c r="O183" s="522"/>
      <c r="P183" s="522"/>
      <c r="Q183" s="522"/>
      <c r="R183" s="522"/>
      <c r="S183" s="525"/>
      <c r="T183" s="522"/>
      <c r="U183" s="524"/>
      <c r="V183" s="525"/>
      <c r="AA183" s="486"/>
      <c r="AB183" s="226"/>
      <c r="AD183" s="226"/>
      <c r="AE183" s="226"/>
      <c r="AS183" s="486"/>
      <c r="AT183" s="486"/>
      <c r="AU183" s="486"/>
      <c r="AV183" s="486"/>
      <c r="BE183" s="486"/>
      <c r="BF183" s="486"/>
      <c r="BG183" s="486"/>
      <c r="BH183" s="486"/>
      <c r="BL183" s="226"/>
      <c r="BM183" s="226"/>
      <c r="BN183" s="226"/>
      <c r="BO183" s="226"/>
      <c r="BX183" s="226"/>
      <c r="BY183" s="226"/>
      <c r="BZ183" s="226"/>
      <c r="CA183" s="226"/>
    </row>
    <row r="184" spans="1:79">
      <c r="A184" s="734">
        <f>+A180+1</f>
        <v>24</v>
      </c>
      <c r="B184" s="668" t="s">
        <v>1099</v>
      </c>
      <c r="C184" s="772">
        <f>+SUMIF('13.mell_ÖNKfeladatok2019'!$B$5:$B$159,'14.mell_Önk kiegészítés2019'!$A44,'13.mell_ÖNKfeladatok2019'!Q$5:Q$159)</f>
        <v>0</v>
      </c>
      <c r="D184" s="772">
        <f>+SUMIF('13.mell_ÖNKfeladatok2019'!$B$5:$B$159,'14.mell_Önk kiegészítés2019'!$A44,'13.mell_ÖNKfeladatok2019'!U$5:U$159)</f>
        <v>0</v>
      </c>
      <c r="E184" s="772">
        <f>+SUMIF('13.mell_ÖNKfeladatok2019'!$B$5:$B$159,'14.mell_Önk kiegészítés2019'!$A44,'13.mell_ÖNKfeladatok2019'!Y$5:Y$159)</f>
        <v>0</v>
      </c>
      <c r="F184" s="772">
        <f>+SUMIF('13.mell_ÖNKfeladatok2019'!$B$5:$B$159,'14.mell_Önk kiegészítés2019'!$A44,'13.mell_ÖNKfeladatok2019'!AC$5:AC$159)</f>
        <v>0</v>
      </c>
      <c r="G184" s="772">
        <f>+SUMIF('13.mell_ÖNKfeladatok2019'!$B$5:$B$159,'14.mell_Önk kiegészítés2019'!$A44,'13.mell_ÖNKfeladatok2019'!AK$5:AK$159)</f>
        <v>0</v>
      </c>
      <c r="H184" s="772">
        <f>+SUMIF('13.mell_ÖNKfeladatok2019'!$B$5:$B$159,'14.mell_Önk kiegészítés2019'!$A44,'13.mell_ÖNKfeladatok2019'!AO$5:AO$159)</f>
        <v>0</v>
      </c>
      <c r="I184" s="772">
        <f>+SUMIF('13.mell_ÖNKfeladatok2019'!$B$5:$B$159,'14.mell_Önk kiegészítés2019'!$A44,'13.mell_ÖNKfeladatok2019'!AS$5:AS$159)</f>
        <v>0</v>
      </c>
      <c r="J184" s="669">
        <f>SUM(C184:I184)</f>
        <v>0</v>
      </c>
      <c r="K184" s="772">
        <f>+SUMIF('13.mell_ÖNKfeladatok2019'!$B$167:$B$321,'14.mell_Önk kiegészítés2019'!$A44,'13.mell_ÖNKfeladatok2019'!Q$167:Q$321)</f>
        <v>0</v>
      </c>
      <c r="L184" s="772">
        <f>+SUMIF('13.mell_ÖNKfeladatok2019'!$B$167:$B$321,'14.mell_Önk kiegészítés2019'!$A44,'13.mell_ÖNKfeladatok2019'!U$167:U$321)</f>
        <v>0</v>
      </c>
      <c r="M184" s="772">
        <f>+SUMIF('13.mell_ÖNKfeladatok2019'!$B$167:$B$321,'14.mell_Önk kiegészítés2019'!$A44,'13.mell_ÖNKfeladatok2019'!Y$167:Y$321)</f>
        <v>1956</v>
      </c>
      <c r="N184" s="772">
        <f>+SUMIF('13.mell_ÖNKfeladatok2019'!$B$167:$B$321,'14.mell_Önk kiegészítés2019'!$A44,'13.mell_ÖNKfeladatok2019'!AC$167:AC$321)</f>
        <v>0</v>
      </c>
      <c r="O184" s="772">
        <f>+SUMIF('13.mell_ÖNKfeladatok2019'!$B$167:$B$321,'14.mell_Önk kiegészítés2019'!$A44,'13.mell_ÖNKfeladatok2019'!AG$167:AG$321)</f>
        <v>0</v>
      </c>
      <c r="P184" s="772">
        <f>+SUMIF('13.mell_ÖNKfeladatok2019'!$B$167:$B$321,'14.mell_Önk kiegészítés2019'!$A44,'13.mell_ÖNKfeladatok2019'!AO$167:AO$321)</f>
        <v>0</v>
      </c>
      <c r="Q184" s="772">
        <f>+SUMIF('13.mell_ÖNKfeladatok2019'!$B$167:$B$321,'14.mell_Önk kiegészítés2019'!$A44,'13.mell_ÖNKfeladatok2019'!AS$167:AS$321)</f>
        <v>0</v>
      </c>
      <c r="R184" s="772">
        <f>+SUMIF('13.mell_ÖNKfeladatok2019'!$B$167:$B$321,'14.mell_Önk kiegészítés2019'!$A44,'13.mell_ÖNKfeladatok2019'!AW$167:AW$321)</f>
        <v>0</v>
      </c>
      <c r="S184" s="669">
        <f>SUM(K184:R184)</f>
        <v>1956</v>
      </c>
      <c r="T184" s="670">
        <f>S184-J184</f>
        <v>1956</v>
      </c>
      <c r="U184" s="1082">
        <f>+ROUND(SUMIF('10.mell_támogatások2019'!$B$6:$B$137,'14.mell_Önk kiegészítés2019'!$A44,'10.mell_támogatások2019'!F$6:F$137)/1000,0)</f>
        <v>0</v>
      </c>
      <c r="V184" s="671">
        <f>+T184-U184</f>
        <v>1956</v>
      </c>
      <c r="AA184" s="486"/>
      <c r="AB184" s="226"/>
      <c r="AD184" s="226"/>
      <c r="AE184" s="226"/>
      <c r="AS184" s="486"/>
      <c r="AT184" s="486"/>
      <c r="AU184" s="486"/>
      <c r="AV184" s="486"/>
      <c r="BE184" s="486"/>
      <c r="BF184" s="486"/>
      <c r="BG184" s="486"/>
      <c r="BH184" s="486"/>
      <c r="BL184" s="226"/>
      <c r="BM184" s="226"/>
      <c r="BN184" s="226"/>
      <c r="BO184" s="226"/>
      <c r="BX184" s="226"/>
      <c r="BY184" s="226"/>
      <c r="BZ184" s="226"/>
      <c r="CA184" s="226"/>
    </row>
    <row r="185" spans="1:79">
      <c r="A185" s="735">
        <f>+A184+1</f>
        <v>25</v>
      </c>
      <c r="B185" s="494" t="s">
        <v>1162</v>
      </c>
      <c r="C185" s="495">
        <f>+SUMIF('13.mell_ÖNKfeladatok2019'!$B$5:$B$159,'14.mell_Önk kiegészítés2019'!$A45,'13.mell_ÖNKfeladatok2019'!Q$5:Q$159)</f>
        <v>0</v>
      </c>
      <c r="D185" s="495">
        <f>+SUMIF('13.mell_ÖNKfeladatok2019'!$B$5:$B$159,'14.mell_Önk kiegészítés2019'!$A45,'13.mell_ÖNKfeladatok2019'!U$5:U$159)</f>
        <v>0</v>
      </c>
      <c r="E185" s="495">
        <f>+SUMIF('13.mell_ÖNKfeladatok2019'!$B$5:$B$159,'14.mell_Önk kiegészítés2019'!$A45,'13.mell_ÖNKfeladatok2019'!Y$5:Y$159)</f>
        <v>566</v>
      </c>
      <c r="F185" s="495">
        <f>+SUMIF('13.mell_ÖNKfeladatok2019'!$B$5:$B$159,'14.mell_Önk kiegészítés2019'!$A45,'13.mell_ÖNKfeladatok2019'!AC$5:AC$159)</f>
        <v>4</v>
      </c>
      <c r="G185" s="495">
        <f>+SUMIF('13.mell_ÖNKfeladatok2019'!$B$5:$B$159,'14.mell_Önk kiegészítés2019'!$A45,'13.mell_ÖNKfeladatok2019'!AK$5:AK$159)</f>
        <v>0</v>
      </c>
      <c r="H185" s="495">
        <f>+SUMIF('13.mell_ÖNKfeladatok2019'!$B$5:$B$159,'14.mell_Önk kiegészítés2019'!$A45,'13.mell_ÖNKfeladatok2019'!AO$5:AO$159)</f>
        <v>0</v>
      </c>
      <c r="I185" s="495">
        <f>+SUMIF('13.mell_ÖNKfeladatok2019'!$B$5:$B$159,'14.mell_Önk kiegészítés2019'!$A45,'13.mell_ÖNKfeladatok2019'!AS$5:AS$159)</f>
        <v>0</v>
      </c>
      <c r="J185" s="534">
        <f>SUM(C185:I185)</f>
        <v>570</v>
      </c>
      <c r="K185" s="495">
        <f>+SUMIF('13.mell_ÖNKfeladatok2019'!$B$167:$B$321,'14.mell_Önk kiegészítés2019'!$A45,'13.mell_ÖNKfeladatok2019'!Q$167:Q$321)</f>
        <v>20988</v>
      </c>
      <c r="L185" s="495">
        <f>+SUMIF('13.mell_ÖNKfeladatok2019'!$B$167:$B$321,'14.mell_Önk kiegészítés2019'!$A45,'13.mell_ÖNKfeladatok2019'!U$167:U$321)</f>
        <v>3889</v>
      </c>
      <c r="M185" s="495">
        <f>+SUMIF('13.mell_ÖNKfeladatok2019'!$B$167:$B$321,'14.mell_Önk kiegészítés2019'!$A45,'13.mell_ÖNKfeladatok2019'!Y$167:Y$321)</f>
        <v>4890</v>
      </c>
      <c r="N185" s="495">
        <f>+SUMIF('13.mell_ÖNKfeladatok2019'!$B$167:$B$321,'14.mell_Önk kiegészítés2019'!$A45,'13.mell_ÖNKfeladatok2019'!AC$167:AC$321)</f>
        <v>0</v>
      </c>
      <c r="O185" s="495">
        <f>+SUMIF('13.mell_ÖNKfeladatok2019'!$B$167:$B$321,'14.mell_Önk kiegészítés2019'!$A45,'13.mell_ÖNKfeladatok2019'!AG$167:AG$321)</f>
        <v>654</v>
      </c>
      <c r="P185" s="495">
        <f>+SUMIF('13.mell_ÖNKfeladatok2019'!$B$167:$B$321,'14.mell_Önk kiegészítés2019'!$A45,'13.mell_ÖNKfeladatok2019'!AO$167:AO$321)</f>
        <v>0</v>
      </c>
      <c r="Q185" s="495">
        <f>+SUMIF('13.mell_ÖNKfeladatok2019'!$B$167:$B$321,'14.mell_Önk kiegészítés2019'!$A45,'13.mell_ÖNKfeladatok2019'!AS$167:AS$321)</f>
        <v>0</v>
      </c>
      <c r="R185" s="495">
        <f>+SUMIF('13.mell_ÖNKfeladatok2019'!$B$167:$B$321,'14.mell_Önk kiegészítés2019'!$A45,'13.mell_ÖNKfeladatok2019'!AW$167:AW$321)</f>
        <v>0</v>
      </c>
      <c r="S185" s="534">
        <f>SUM(K185:R185)</f>
        <v>30421</v>
      </c>
      <c r="T185" s="496">
        <f>S185-J185</f>
        <v>29851</v>
      </c>
      <c r="U185" s="1080">
        <f>+ROUND(SUMIF('10.mell_támogatások2019'!$B$6:$B$137,'14.mell_Önk kiegészítés2019'!$A45,'10.mell_támogatások2019'!F$6:F$137)/1000,0)+654+243</f>
        <v>16811</v>
      </c>
      <c r="V185" s="497">
        <f>+T185-U185</f>
        <v>13040</v>
      </c>
      <c r="AA185" s="486"/>
      <c r="AB185" s="226">
        <v>654</v>
      </c>
      <c r="AD185" s="226"/>
      <c r="AE185" s="226">
        <f>((0+(99+19))+(36+6))+(53+9)+21</f>
        <v>243</v>
      </c>
      <c r="AS185" s="486"/>
      <c r="AT185" s="486"/>
      <c r="AU185" s="486"/>
      <c r="AV185" s="486"/>
      <c r="BE185" s="486"/>
      <c r="BF185" s="486"/>
      <c r="BG185" s="486"/>
      <c r="BH185" s="486"/>
      <c r="BL185" s="226"/>
      <c r="BM185" s="226"/>
      <c r="BN185" s="226"/>
      <c r="BO185" s="226"/>
      <c r="BX185" s="226"/>
      <c r="BY185" s="226"/>
      <c r="BZ185" s="226"/>
      <c r="CA185" s="226"/>
    </row>
    <row r="186" spans="1:79" ht="12.75" thickBot="1">
      <c r="A186" s="776">
        <f>+A185+1</f>
        <v>26</v>
      </c>
      <c r="B186" s="507" t="s">
        <v>1106</v>
      </c>
      <c r="C186" s="508">
        <f>+SUMIF('13.mell_ÖNKfeladatok2019'!$B$5:$B$159,'14.mell_Önk kiegészítés2019'!$A46,'13.mell_ÖNKfeladatok2019'!Q$5:Q$159)</f>
        <v>800</v>
      </c>
      <c r="D186" s="508">
        <f>+SUMIF('13.mell_ÖNKfeladatok2019'!$B$5:$B$159,'14.mell_Önk kiegészítés2019'!$A46,'13.mell_ÖNKfeladatok2019'!U$5:U$159)</f>
        <v>0</v>
      </c>
      <c r="E186" s="508">
        <f>+SUMIF('13.mell_ÖNKfeladatok2019'!$B$5:$B$159,'14.mell_Önk kiegészítés2019'!$A46,'13.mell_ÖNKfeladatok2019'!Y$5:Y$159)</f>
        <v>110</v>
      </c>
      <c r="F186" s="508">
        <f>+SUMIF('13.mell_ÖNKfeladatok2019'!$B$5:$B$159,'14.mell_Önk kiegészítés2019'!$A46,'13.mell_ÖNKfeladatok2019'!AC$5:AC$159)</f>
        <v>0</v>
      </c>
      <c r="G186" s="508">
        <f>+SUMIF('13.mell_ÖNKfeladatok2019'!$B$5:$B$159,'14.mell_Önk kiegészítés2019'!$A46,'13.mell_ÖNKfeladatok2019'!AK$5:AK$159)</f>
        <v>0</v>
      </c>
      <c r="H186" s="508">
        <f>+SUMIF('13.mell_ÖNKfeladatok2019'!$B$5:$B$159,'14.mell_Önk kiegészítés2019'!$A46,'13.mell_ÖNKfeladatok2019'!AO$5:AO$159)</f>
        <v>0</v>
      </c>
      <c r="I186" s="508">
        <f>+SUMIF('13.mell_ÖNKfeladatok2019'!$B$5:$B$159,'14.mell_Önk kiegészítés2019'!$A46,'13.mell_ÖNKfeladatok2019'!AS$5:AS$159)</f>
        <v>0</v>
      </c>
      <c r="J186" s="536">
        <f>SUM(C186:I186)</f>
        <v>910</v>
      </c>
      <c r="K186" s="508">
        <f>+SUMIF('13.mell_ÖNKfeladatok2019'!$B$167:$B$321,'14.mell_Önk kiegészítés2019'!$A46,'13.mell_ÖNKfeladatok2019'!Q$167:Q$321)</f>
        <v>4259</v>
      </c>
      <c r="L186" s="508">
        <f>+SUMIF('13.mell_ÖNKfeladatok2019'!$B$167:$B$321,'14.mell_Önk kiegészítés2019'!$A46,'13.mell_ÖNKfeladatok2019'!U$167:U$321)</f>
        <v>798</v>
      </c>
      <c r="M186" s="508">
        <f>+SUMIF('13.mell_ÖNKfeladatok2019'!$B$167:$B$321,'14.mell_Önk kiegészítés2019'!$A46,'13.mell_ÖNKfeladatok2019'!Y$167:Y$321)</f>
        <v>2125</v>
      </c>
      <c r="N186" s="508">
        <f>+SUMIF('13.mell_ÖNKfeladatok2019'!$B$167:$B$321,'14.mell_Önk kiegészítés2019'!$A46,'13.mell_ÖNKfeladatok2019'!AC$167:AC$321)</f>
        <v>0</v>
      </c>
      <c r="O186" s="508">
        <f>+SUMIF('13.mell_ÖNKfeladatok2019'!$B$167:$B$321,'14.mell_Önk kiegészítés2019'!$A46,'13.mell_ÖNKfeladatok2019'!AG$167:AG$321)</f>
        <v>0</v>
      </c>
      <c r="P186" s="508">
        <f>+SUMIF('13.mell_ÖNKfeladatok2019'!$B$167:$B$321,'14.mell_Önk kiegészítés2019'!$A46,'13.mell_ÖNKfeladatok2019'!AO$167:AO$321)</f>
        <v>0</v>
      </c>
      <c r="Q186" s="508">
        <f>+SUMIF('13.mell_ÖNKfeladatok2019'!$B$167:$B$321,'14.mell_Önk kiegészítés2019'!$A46,'13.mell_ÖNKfeladatok2019'!AS$167:AS$321)</f>
        <v>0</v>
      </c>
      <c r="R186" s="508">
        <f>+SUMIF('13.mell_ÖNKfeladatok2019'!$B$167:$B$321,'14.mell_Önk kiegészítés2019'!$A46,'13.mell_ÖNKfeladatok2019'!AW$167:AW$321)</f>
        <v>0</v>
      </c>
      <c r="S186" s="536">
        <f>SUM(K186:R186)</f>
        <v>7182</v>
      </c>
      <c r="T186" s="777">
        <f>S186-J186</f>
        <v>6272</v>
      </c>
      <c r="U186" s="1084">
        <f>+ROUND(SUMIF('10.mell_támogatások2019'!$B$6:$B$137,'14.mell_Önk kiegészítés2019'!$A46,'10.mell_támogatások2019'!F$6:F$137)/1000,0)</f>
        <v>6679</v>
      </c>
      <c r="V186" s="778">
        <f>+T186-U186</f>
        <v>-407</v>
      </c>
      <c r="AA186" s="486"/>
      <c r="AB186" s="226"/>
      <c r="AD186" s="226"/>
      <c r="AE186" s="226"/>
      <c r="AS186" s="486"/>
      <c r="AT186" s="486"/>
      <c r="AU186" s="486"/>
      <c r="AV186" s="486"/>
      <c r="BE186" s="486"/>
      <c r="BF186" s="486"/>
      <c r="BG186" s="486"/>
      <c r="BH186" s="486"/>
      <c r="BL186" s="226"/>
      <c r="BM186" s="226"/>
      <c r="BN186" s="226"/>
      <c r="BO186" s="226"/>
      <c r="BX186" s="226"/>
      <c r="BY186" s="226"/>
      <c r="BZ186" s="226"/>
      <c r="CA186" s="226"/>
    </row>
    <row r="187" spans="1:79" ht="12.75" thickBot="1">
      <c r="A187" s="309" t="s">
        <v>757</v>
      </c>
      <c r="B187" s="450" t="s">
        <v>421</v>
      </c>
      <c r="C187" s="502">
        <f t="shared" ref="C187:I187" si="564">SUM(C184:C186)</f>
        <v>800</v>
      </c>
      <c r="D187" s="502">
        <f t="shared" si="564"/>
        <v>0</v>
      </c>
      <c r="E187" s="502">
        <f t="shared" si="564"/>
        <v>676</v>
      </c>
      <c r="F187" s="502">
        <f t="shared" si="564"/>
        <v>4</v>
      </c>
      <c r="G187" s="502">
        <f t="shared" si="564"/>
        <v>0</v>
      </c>
      <c r="H187" s="502">
        <f t="shared" si="564"/>
        <v>0</v>
      </c>
      <c r="I187" s="502">
        <f t="shared" si="564"/>
        <v>0</v>
      </c>
      <c r="J187" s="505">
        <f t="shared" ref="J187" si="565">SUM(J184:J186)</f>
        <v>1480</v>
      </c>
      <c r="K187" s="502">
        <f t="shared" ref="K187:R187" si="566">SUM(K184:K186)</f>
        <v>25247</v>
      </c>
      <c r="L187" s="502">
        <f t="shared" si="566"/>
        <v>4687</v>
      </c>
      <c r="M187" s="502">
        <f t="shared" si="566"/>
        <v>8971</v>
      </c>
      <c r="N187" s="502">
        <f t="shared" si="566"/>
        <v>0</v>
      </c>
      <c r="O187" s="502">
        <f t="shared" si="566"/>
        <v>654</v>
      </c>
      <c r="P187" s="502">
        <f t="shared" si="566"/>
        <v>0</v>
      </c>
      <c r="Q187" s="502">
        <f t="shared" si="566"/>
        <v>0</v>
      </c>
      <c r="R187" s="502">
        <f t="shared" si="566"/>
        <v>0</v>
      </c>
      <c r="S187" s="505">
        <f t="shared" ref="S187" si="567">SUM(S184:S186)</f>
        <v>39559</v>
      </c>
      <c r="T187" s="502">
        <f>SUM(T184:T186)</f>
        <v>38079</v>
      </c>
      <c r="U187" s="506">
        <f>SUM(U184:U186)</f>
        <v>23490</v>
      </c>
      <c r="V187" s="505">
        <f>SUM(V184:V186)</f>
        <v>14589</v>
      </c>
      <c r="AA187" s="486"/>
      <c r="AB187" s="226"/>
      <c r="AD187" s="226"/>
      <c r="AE187" s="226"/>
      <c r="AS187" s="486"/>
      <c r="AT187" s="486"/>
      <c r="AU187" s="486"/>
      <c r="AV187" s="486"/>
      <c r="BE187" s="486"/>
      <c r="BF187" s="486"/>
      <c r="BG187" s="486"/>
      <c r="BH187" s="486"/>
      <c r="BL187" s="226"/>
      <c r="BM187" s="226"/>
      <c r="BN187" s="226"/>
      <c r="BO187" s="226"/>
      <c r="BX187" s="226"/>
      <c r="BY187" s="226"/>
      <c r="BZ187" s="226"/>
      <c r="CA187" s="226"/>
    </row>
    <row r="188" spans="1:79" ht="12.75" thickBot="1">
      <c r="A188" s="781">
        <f>+A186+1</f>
        <v>27</v>
      </c>
      <c r="B188" s="782" t="s">
        <v>759</v>
      </c>
      <c r="C188" s="783">
        <f>+SUMIF('13.mell_ÖNKfeladatok2019'!$B$5:$B$159,'14.mell_Önk kiegészítés2019'!$A48,'13.mell_ÖNKfeladatok2019'!Q$5:Q$159)</f>
        <v>0</v>
      </c>
      <c r="D188" s="783">
        <f>+SUMIF('13.mell_ÖNKfeladatok2019'!$B$5:$B$159,'14.mell_Önk kiegészítés2019'!$A48,'13.mell_ÖNKfeladatok2019'!U$5:U$159)</f>
        <v>0</v>
      </c>
      <c r="E188" s="783">
        <f>+SUMIF('13.mell_ÖNKfeladatok2019'!$B$5:$B$159,'14.mell_Önk kiegészítés2019'!$A48,'13.mell_ÖNKfeladatok2019'!Y$5:Y$159)</f>
        <v>0</v>
      </c>
      <c r="F188" s="783">
        <f>+SUMIF('13.mell_ÖNKfeladatok2019'!$B$5:$B$159,'14.mell_Önk kiegészítés2019'!$A48,'13.mell_ÖNKfeladatok2019'!AC$5:AC$159)</f>
        <v>0</v>
      </c>
      <c r="G188" s="783">
        <f>+SUMIF('13.mell_ÖNKfeladatok2019'!$B$5:$B$159,'14.mell_Önk kiegészítés2019'!$A48,'13.mell_ÖNKfeladatok2019'!AK$5:AK$159)</f>
        <v>0</v>
      </c>
      <c r="H188" s="783">
        <f>+SUMIF('13.mell_ÖNKfeladatok2019'!$B$5:$B$159,'14.mell_Önk kiegészítés2019'!$A48,'13.mell_ÖNKfeladatok2019'!AO$5:AO$159)</f>
        <v>0</v>
      </c>
      <c r="I188" s="783">
        <f>+SUMIF('13.mell_ÖNKfeladatok2019'!$B$5:$B$159,'14.mell_Önk kiegészítés2019'!$A48,'13.mell_ÖNKfeladatok2019'!AS$5:AS$159)</f>
        <v>0</v>
      </c>
      <c r="J188" s="784">
        <f>SUM(C188:I188)</f>
        <v>0</v>
      </c>
      <c r="K188" s="783">
        <f>+SUMIF('13.mell_ÖNKfeladatok2019'!$B$167:$B$321,'14.mell_Önk kiegészítés2019'!$A48,'13.mell_ÖNKfeladatok2019'!Q$167:Q$321)</f>
        <v>0</v>
      </c>
      <c r="L188" s="783">
        <f>+SUMIF('13.mell_ÖNKfeladatok2019'!$B$167:$B$321,'14.mell_Önk kiegészítés2019'!$A48,'13.mell_ÖNKfeladatok2019'!U$167:U$321)</f>
        <v>0</v>
      </c>
      <c r="M188" s="783">
        <f>+SUMIF('13.mell_ÖNKfeladatok2019'!$B$167:$B$321,'14.mell_Önk kiegészítés2019'!$A48,'13.mell_ÖNKfeladatok2019'!Y$167:Y$321)</f>
        <v>0</v>
      </c>
      <c r="N188" s="783">
        <f>+SUMIF('13.mell_ÖNKfeladatok2019'!$B$167:$B$321,'14.mell_Önk kiegészítés2019'!$A48,'13.mell_ÖNKfeladatok2019'!AC$167:AC$321)</f>
        <v>0</v>
      </c>
      <c r="O188" s="783">
        <f>+SUMIF('13.mell_ÖNKfeladatok2019'!$B$167:$B$321,'14.mell_Önk kiegészítés2019'!$A48,'13.mell_ÖNKfeladatok2019'!AG$167:AG$321)</f>
        <v>0</v>
      </c>
      <c r="P188" s="783">
        <f>+SUMIF('13.mell_ÖNKfeladatok2019'!$B$167:$B$321,'14.mell_Önk kiegészítés2019'!$A48,'13.mell_ÖNKfeladatok2019'!AO$167:AO$321)</f>
        <v>0</v>
      </c>
      <c r="Q188" s="783">
        <f>+SUMIF('13.mell_ÖNKfeladatok2019'!$B$167:$B$321,'14.mell_Önk kiegészítés2019'!$A48,'13.mell_ÖNKfeladatok2019'!AS$167:AS$321)</f>
        <v>0</v>
      </c>
      <c r="R188" s="783">
        <f>+SUMIF('13.mell_ÖNKfeladatok2019'!$B$167:$B$321,'14.mell_Önk kiegészítés2019'!$A48,'13.mell_ÖNKfeladatok2019'!AW$167:AW$321)</f>
        <v>0</v>
      </c>
      <c r="S188" s="784">
        <f>SUM(K188:R188)</f>
        <v>0</v>
      </c>
      <c r="T188" s="502">
        <f>S188-J188</f>
        <v>0</v>
      </c>
      <c r="U188" s="1085">
        <f>+ROUND(SUMIF('10.mell_támogatások2019'!$B$6:$B$137,'14.mell_Önk kiegészítés2019'!$A48,'10.mell_támogatások2019'!F$6:F$137)/1000,0)</f>
        <v>0</v>
      </c>
      <c r="V188" s="505">
        <f>+T188-U188</f>
        <v>0</v>
      </c>
      <c r="AA188" s="486"/>
      <c r="AB188" s="226"/>
      <c r="AD188" s="226"/>
      <c r="AE188" s="226"/>
      <c r="AS188" s="486"/>
      <c r="AT188" s="486"/>
      <c r="AU188" s="486"/>
      <c r="AV188" s="486"/>
      <c r="BE188" s="486"/>
      <c r="BF188" s="486"/>
      <c r="BG188" s="486"/>
      <c r="BH188" s="486"/>
      <c r="BL188" s="226"/>
      <c r="BM188" s="226"/>
      <c r="BN188" s="226"/>
      <c r="BO188" s="226"/>
      <c r="BX188" s="226"/>
      <c r="BY188" s="226"/>
      <c r="BZ188" s="226"/>
      <c r="CA188" s="226"/>
    </row>
    <row r="189" spans="1:79" ht="12.75" thickBot="1">
      <c r="A189" s="458" t="s">
        <v>642</v>
      </c>
      <c r="B189" s="459" t="s">
        <v>759</v>
      </c>
      <c r="C189" s="779">
        <f t="shared" ref="C189:I189" si="568">SUM(C188)</f>
        <v>0</v>
      </c>
      <c r="D189" s="779">
        <f t="shared" si="568"/>
        <v>0</v>
      </c>
      <c r="E189" s="779">
        <f t="shared" si="568"/>
        <v>0</v>
      </c>
      <c r="F189" s="779">
        <f t="shared" si="568"/>
        <v>0</v>
      </c>
      <c r="G189" s="779">
        <f t="shared" si="568"/>
        <v>0</v>
      </c>
      <c r="H189" s="779">
        <f t="shared" si="568"/>
        <v>0</v>
      </c>
      <c r="I189" s="779">
        <f t="shared" si="568"/>
        <v>0</v>
      </c>
      <c r="J189" s="780">
        <f t="shared" ref="J189" si="569">SUM(J188)</f>
        <v>0</v>
      </c>
      <c r="K189" s="779">
        <f t="shared" ref="K189:R189" si="570">SUM(K188)</f>
        <v>0</v>
      </c>
      <c r="L189" s="779">
        <f t="shared" si="570"/>
        <v>0</v>
      </c>
      <c r="M189" s="779">
        <f t="shared" si="570"/>
        <v>0</v>
      </c>
      <c r="N189" s="779">
        <f t="shared" si="570"/>
        <v>0</v>
      </c>
      <c r="O189" s="779">
        <f t="shared" si="570"/>
        <v>0</v>
      </c>
      <c r="P189" s="779">
        <f t="shared" si="570"/>
        <v>0</v>
      </c>
      <c r="Q189" s="779">
        <f t="shared" si="570"/>
        <v>0</v>
      </c>
      <c r="R189" s="779">
        <f t="shared" si="570"/>
        <v>0</v>
      </c>
      <c r="S189" s="780">
        <f t="shared" ref="S189" si="571">SUM(S188)</f>
        <v>0</v>
      </c>
      <c r="T189" s="779">
        <f>SUM(T188)</f>
        <v>0</v>
      </c>
      <c r="U189" s="1086">
        <f>SUM(U188)</f>
        <v>0</v>
      </c>
      <c r="V189" s="780">
        <f>SUM(V188)</f>
        <v>0</v>
      </c>
      <c r="AA189" s="486"/>
      <c r="AB189" s="226"/>
      <c r="AD189" s="226"/>
      <c r="AE189" s="226"/>
      <c r="AS189" s="486"/>
      <c r="AT189" s="486"/>
      <c r="AU189" s="486"/>
      <c r="AV189" s="486"/>
      <c r="BE189" s="486"/>
      <c r="BF189" s="486"/>
      <c r="BG189" s="486"/>
      <c r="BH189" s="486"/>
      <c r="BL189" s="226"/>
      <c r="BM189" s="226"/>
      <c r="BN189" s="226"/>
      <c r="BO189" s="226"/>
      <c r="BX189" s="226"/>
      <c r="BY189" s="226"/>
      <c r="BZ189" s="226"/>
      <c r="CA189" s="226"/>
    </row>
    <row r="190" spans="1:79" ht="12.75" thickBot="1">
      <c r="A190" s="781">
        <f>+A188+1</f>
        <v>28</v>
      </c>
      <c r="B190" s="782" t="s">
        <v>774</v>
      </c>
      <c r="C190" s="783">
        <f>+SUMIF('13.mell_ÖNKfeladatok2019'!$B$5:$B$159,'14.mell_Önk kiegészítés2019'!$A50,'13.mell_ÖNKfeladatok2019'!Q$5:Q$159)</f>
        <v>0</v>
      </c>
      <c r="D190" s="783">
        <f>+SUMIF('13.mell_ÖNKfeladatok2019'!$B$5:$B$159,'14.mell_Önk kiegészítés2019'!$A50,'13.mell_ÖNKfeladatok2019'!U$5:U$159)</f>
        <v>0</v>
      </c>
      <c r="E190" s="783">
        <f>+SUMIF('13.mell_ÖNKfeladatok2019'!$B$5:$B$159,'14.mell_Önk kiegészítés2019'!$A50,'13.mell_ÖNKfeladatok2019'!Y$5:Y$159)</f>
        <v>0</v>
      </c>
      <c r="F190" s="783">
        <f>+SUMIF('13.mell_ÖNKfeladatok2019'!$B$5:$B$159,'14.mell_Önk kiegészítés2019'!$A50,'13.mell_ÖNKfeladatok2019'!AC$5:AC$159)</f>
        <v>0</v>
      </c>
      <c r="G190" s="783">
        <f>+SUMIF('13.mell_ÖNKfeladatok2019'!$B$5:$B$159,'14.mell_Önk kiegészítés2019'!$A50,'13.mell_ÖNKfeladatok2019'!AK$5:AK$159)</f>
        <v>0</v>
      </c>
      <c r="H190" s="783">
        <f>+SUMIF('13.mell_ÖNKfeladatok2019'!$B$5:$B$159,'14.mell_Önk kiegészítés2019'!$A50,'13.mell_ÖNKfeladatok2019'!AO$5:AO$159)</f>
        <v>0</v>
      </c>
      <c r="I190" s="783">
        <f>+SUMIF('13.mell_ÖNKfeladatok2019'!$B$5:$B$159,'14.mell_Önk kiegészítés2019'!$A50,'13.mell_ÖNKfeladatok2019'!AS$5:AS$159)</f>
        <v>0</v>
      </c>
      <c r="J190" s="784">
        <f>SUM(C190:I190)</f>
        <v>0</v>
      </c>
      <c r="K190" s="783">
        <f>+SUMIF('13.mell_ÖNKfeladatok2019'!$B$167:$B$321,'14.mell_Önk kiegészítés2019'!$A50,'13.mell_ÖNKfeladatok2019'!Q$167:Q$321)</f>
        <v>0</v>
      </c>
      <c r="L190" s="783">
        <f>+SUMIF('13.mell_ÖNKfeladatok2019'!$B$167:$B$321,'14.mell_Önk kiegészítés2019'!$A50,'13.mell_ÖNKfeladatok2019'!U$167:U$321)</f>
        <v>0</v>
      </c>
      <c r="M190" s="783">
        <f>+SUMIF('13.mell_ÖNKfeladatok2019'!$B$167:$B$321,'14.mell_Önk kiegészítés2019'!$A50,'13.mell_ÖNKfeladatok2019'!Y$167:Y$321)</f>
        <v>0</v>
      </c>
      <c r="N190" s="783">
        <f>+SUMIF('13.mell_ÖNKfeladatok2019'!$B$167:$B$321,'14.mell_Önk kiegészítés2019'!$A50,'13.mell_ÖNKfeladatok2019'!AC$167:AC$321)</f>
        <v>0</v>
      </c>
      <c r="O190" s="783">
        <f>+SUMIF('13.mell_ÖNKfeladatok2019'!$B$167:$B$321,'14.mell_Önk kiegészítés2019'!$A50,'13.mell_ÖNKfeladatok2019'!AG$167:AG$321)</f>
        <v>0</v>
      </c>
      <c r="P190" s="783">
        <f>+SUMIF('13.mell_ÖNKfeladatok2019'!$B$167:$B$321,'14.mell_Önk kiegészítés2019'!$A50,'13.mell_ÖNKfeladatok2019'!AO$167:AO$321)</f>
        <v>0</v>
      </c>
      <c r="Q190" s="783">
        <f>+SUMIF('13.mell_ÖNKfeladatok2019'!$B$167:$B$321,'14.mell_Önk kiegészítés2019'!$A50,'13.mell_ÖNKfeladatok2019'!AS$167:AS$321)</f>
        <v>0</v>
      </c>
      <c r="R190" s="783">
        <f>+SUMIF('13.mell_ÖNKfeladatok2019'!$B$167:$B$321,'14.mell_Önk kiegészítés2019'!$A50,'13.mell_ÖNKfeladatok2019'!AW$167:AW$321)</f>
        <v>0</v>
      </c>
      <c r="S190" s="784">
        <f>SUM(K190:R190)</f>
        <v>0</v>
      </c>
      <c r="T190" s="502">
        <f>S190-J190</f>
        <v>0</v>
      </c>
      <c r="U190" s="1085">
        <f>+ROUND(SUMIF('10.mell_támogatások2019'!$B$6:$B$137,'14.mell_Önk kiegészítés2019'!$A50,'10.mell_támogatások2019'!F$6:F$137)/1000,0)</f>
        <v>0</v>
      </c>
      <c r="V190" s="505">
        <f>+T190-U190</f>
        <v>0</v>
      </c>
      <c r="AA190" s="486"/>
      <c r="AB190" s="226"/>
      <c r="AD190" s="226"/>
      <c r="AE190" s="226"/>
      <c r="AS190" s="486"/>
      <c r="AT190" s="486"/>
      <c r="AU190" s="486"/>
      <c r="AV190" s="486"/>
      <c r="BE190" s="486"/>
      <c r="BF190" s="486"/>
      <c r="BG190" s="486"/>
      <c r="BH190" s="486"/>
      <c r="BL190" s="226"/>
      <c r="BM190" s="226"/>
      <c r="BN190" s="226"/>
      <c r="BO190" s="226"/>
      <c r="BX190" s="226"/>
      <c r="BY190" s="226"/>
      <c r="BZ190" s="226"/>
      <c r="CA190" s="226"/>
    </row>
    <row r="191" spans="1:79" ht="12.75" thickBot="1">
      <c r="A191" s="458" t="s">
        <v>758</v>
      </c>
      <c r="B191" s="459" t="s">
        <v>774</v>
      </c>
      <c r="C191" s="779">
        <f t="shared" ref="C191:I191" si="572">SUM(C190)</f>
        <v>0</v>
      </c>
      <c r="D191" s="779">
        <f t="shared" si="572"/>
        <v>0</v>
      </c>
      <c r="E191" s="779">
        <f t="shared" si="572"/>
        <v>0</v>
      </c>
      <c r="F191" s="779">
        <f t="shared" si="572"/>
        <v>0</v>
      </c>
      <c r="G191" s="779">
        <f t="shared" si="572"/>
        <v>0</v>
      </c>
      <c r="H191" s="779">
        <f t="shared" si="572"/>
        <v>0</v>
      </c>
      <c r="I191" s="779">
        <f t="shared" si="572"/>
        <v>0</v>
      </c>
      <c r="J191" s="780">
        <f t="shared" ref="J191" si="573">SUM(J190)</f>
        <v>0</v>
      </c>
      <c r="K191" s="779">
        <f t="shared" ref="K191:R191" si="574">SUM(K190)</f>
        <v>0</v>
      </c>
      <c r="L191" s="779">
        <f t="shared" si="574"/>
        <v>0</v>
      </c>
      <c r="M191" s="779">
        <f t="shared" si="574"/>
        <v>0</v>
      </c>
      <c r="N191" s="779">
        <f t="shared" si="574"/>
        <v>0</v>
      </c>
      <c r="O191" s="779">
        <f t="shared" si="574"/>
        <v>0</v>
      </c>
      <c r="P191" s="779">
        <f t="shared" si="574"/>
        <v>0</v>
      </c>
      <c r="Q191" s="779">
        <f t="shared" si="574"/>
        <v>0</v>
      </c>
      <c r="R191" s="779">
        <f t="shared" si="574"/>
        <v>0</v>
      </c>
      <c r="S191" s="780">
        <f t="shared" ref="S191" si="575">SUM(S190)</f>
        <v>0</v>
      </c>
      <c r="T191" s="779">
        <f>SUM(T190)</f>
        <v>0</v>
      </c>
      <c r="U191" s="1086">
        <f>SUM(U190)</f>
        <v>0</v>
      </c>
      <c r="V191" s="780">
        <f>SUM(V190)</f>
        <v>0</v>
      </c>
      <c r="AA191" s="486"/>
      <c r="AB191" s="226"/>
      <c r="AD191" s="226"/>
      <c r="AE191" s="226"/>
      <c r="AS191" s="486"/>
      <c r="AT191" s="486"/>
      <c r="AU191" s="486"/>
      <c r="AV191" s="486"/>
      <c r="BE191" s="486"/>
      <c r="BF191" s="486"/>
      <c r="BG191" s="486"/>
      <c r="BH191" s="486"/>
      <c r="BL191" s="226"/>
      <c r="BM191" s="226"/>
      <c r="BN191" s="226"/>
      <c r="BO191" s="226"/>
      <c r="BX191" s="226"/>
      <c r="BY191" s="226"/>
      <c r="BZ191" s="226"/>
      <c r="CA191" s="226"/>
    </row>
    <row r="192" spans="1:79" ht="12.75" thickBot="1">
      <c r="A192" s="452" t="s">
        <v>20</v>
      </c>
      <c r="B192" s="462" t="s">
        <v>423</v>
      </c>
      <c r="C192" s="511">
        <f t="shared" ref="C192:I192" si="576">+C187+C189+C191</f>
        <v>800</v>
      </c>
      <c r="D192" s="512">
        <f t="shared" si="576"/>
        <v>0</v>
      </c>
      <c r="E192" s="512">
        <f t="shared" si="576"/>
        <v>676</v>
      </c>
      <c r="F192" s="512">
        <f t="shared" si="576"/>
        <v>4</v>
      </c>
      <c r="G192" s="512">
        <f t="shared" si="576"/>
        <v>0</v>
      </c>
      <c r="H192" s="512">
        <f t="shared" si="576"/>
        <v>0</v>
      </c>
      <c r="I192" s="513">
        <f t="shared" si="576"/>
        <v>0</v>
      </c>
      <c r="J192" s="514">
        <f t="shared" ref="J192" si="577">+J187+J189+J191</f>
        <v>1480</v>
      </c>
      <c r="K192" s="511">
        <f t="shared" ref="K192:R192" si="578">+K187+K189+K191</f>
        <v>25247</v>
      </c>
      <c r="L192" s="511">
        <f t="shared" si="578"/>
        <v>4687</v>
      </c>
      <c r="M192" s="511">
        <f t="shared" si="578"/>
        <v>8971</v>
      </c>
      <c r="N192" s="511">
        <f t="shared" si="578"/>
        <v>0</v>
      </c>
      <c r="O192" s="511">
        <f t="shared" si="578"/>
        <v>654</v>
      </c>
      <c r="P192" s="511">
        <f t="shared" si="578"/>
        <v>0</v>
      </c>
      <c r="Q192" s="511">
        <f t="shared" si="578"/>
        <v>0</v>
      </c>
      <c r="R192" s="511">
        <f t="shared" si="578"/>
        <v>0</v>
      </c>
      <c r="S192" s="514">
        <f t="shared" ref="S192" si="579">+S187+S189+S191</f>
        <v>39559</v>
      </c>
      <c r="T192" s="511">
        <f>+T187+T189+T191</f>
        <v>38079</v>
      </c>
      <c r="U192" s="513">
        <f>+U187+U189+U191</f>
        <v>23490</v>
      </c>
      <c r="V192" s="514">
        <f>+V187+V189+V191</f>
        <v>14589</v>
      </c>
      <c r="AA192" s="486"/>
      <c r="AB192" s="226"/>
      <c r="AD192" s="226"/>
      <c r="AE192" s="226"/>
      <c r="AS192" s="486"/>
      <c r="AT192" s="486"/>
      <c r="AU192" s="486"/>
      <c r="AV192" s="486"/>
      <c r="BE192" s="486"/>
      <c r="BF192" s="486"/>
      <c r="BG192" s="486"/>
      <c r="BH192" s="486"/>
      <c r="BL192" s="226"/>
      <c r="BM192" s="226"/>
      <c r="BN192" s="226"/>
      <c r="BO192" s="226"/>
      <c r="BX192" s="226"/>
      <c r="BY192" s="226"/>
      <c r="BZ192" s="226"/>
      <c r="CA192" s="226"/>
    </row>
    <row r="193" spans="1:79" ht="12.75" thickBot="1">
      <c r="A193" s="473"/>
      <c r="B193" s="526"/>
      <c r="C193" s="515"/>
      <c r="D193" s="516"/>
      <c r="E193" s="516"/>
      <c r="F193" s="516"/>
      <c r="G193" s="516"/>
      <c r="H193" s="516"/>
      <c r="I193" s="517"/>
      <c r="J193" s="518"/>
      <c r="K193" s="527"/>
      <c r="L193" s="527"/>
      <c r="M193" s="527"/>
      <c r="N193" s="527"/>
      <c r="O193" s="527"/>
      <c r="P193" s="527"/>
      <c r="Q193" s="527"/>
      <c r="R193" s="527"/>
      <c r="S193" s="525"/>
      <c r="T193" s="522"/>
      <c r="U193" s="1087"/>
      <c r="V193" s="525"/>
      <c r="AA193" s="486"/>
      <c r="AB193" s="226"/>
      <c r="AD193" s="226"/>
      <c r="AE193" s="226"/>
      <c r="AS193" s="486"/>
      <c r="AT193" s="486"/>
      <c r="AU193" s="486"/>
      <c r="AV193" s="486"/>
      <c r="BE193" s="486"/>
      <c r="BF193" s="486"/>
      <c r="BG193" s="486"/>
      <c r="BH193" s="486"/>
      <c r="BL193" s="226"/>
      <c r="BM193" s="226"/>
      <c r="BN193" s="226"/>
      <c r="BO193" s="226"/>
      <c r="BX193" s="226"/>
      <c r="BY193" s="226"/>
      <c r="BZ193" s="226"/>
      <c r="CA193" s="226"/>
    </row>
    <row r="194" spans="1:79" ht="12.75" thickBot="1">
      <c r="A194" s="734">
        <f>+A190+1</f>
        <v>29</v>
      </c>
      <c r="B194" s="668" t="s">
        <v>864</v>
      </c>
      <c r="C194" s="772">
        <f>+SUMIF('13.mell_ÖNKfeladatok2019'!$B$5:$B$159,'14.mell_Önk kiegészítés2019'!$A54,'13.mell_ÖNKfeladatok2019'!Q$5:Q$159)</f>
        <v>0</v>
      </c>
      <c r="D194" s="772">
        <f>+SUMIF('13.mell_ÖNKfeladatok2019'!$B$5:$B$159,'14.mell_Önk kiegészítés2019'!$A54,'13.mell_ÖNKfeladatok2019'!U$5:U$159)</f>
        <v>0</v>
      </c>
      <c r="E194" s="772">
        <f>+SUMIF('13.mell_ÖNKfeladatok2019'!$B$5:$B$159,'14.mell_Önk kiegészítés2019'!$A54,'13.mell_ÖNKfeladatok2019'!Y$5:Y$159)</f>
        <v>0</v>
      </c>
      <c r="F194" s="772">
        <f>+SUMIF('13.mell_ÖNKfeladatok2019'!$B$5:$B$159,'14.mell_Önk kiegészítés2019'!$A54,'13.mell_ÖNKfeladatok2019'!AC$5:AC$159)</f>
        <v>0</v>
      </c>
      <c r="G194" s="772">
        <f>+SUMIF('13.mell_ÖNKfeladatok2019'!$B$5:$B$159,'14.mell_Önk kiegészítés2019'!$A54,'13.mell_ÖNKfeladatok2019'!AK$5:AK$159)</f>
        <v>0</v>
      </c>
      <c r="H194" s="772">
        <f>+SUMIF('13.mell_ÖNKfeladatok2019'!$B$5:$B$159,'14.mell_Önk kiegészítés2019'!$A54,'13.mell_ÖNKfeladatok2019'!AO$5:AO$159)</f>
        <v>0</v>
      </c>
      <c r="I194" s="772">
        <f>+SUMIF('13.mell_ÖNKfeladatok2019'!$B$5:$B$159,'14.mell_Önk kiegészítés2019'!$A54,'13.mell_ÖNKfeladatok2019'!AS$5:AS$159)</f>
        <v>0</v>
      </c>
      <c r="J194" s="669">
        <f>SUM(C194:I194)</f>
        <v>0</v>
      </c>
      <c r="K194" s="772">
        <f>+SUMIF('13.mell_ÖNKfeladatok2019'!$B$167:$B$321,'14.mell_Önk kiegészítés2019'!$A54,'13.mell_ÖNKfeladatok2019'!Q$167:Q$321)</f>
        <v>0</v>
      </c>
      <c r="L194" s="772">
        <f>+SUMIF('13.mell_ÖNKfeladatok2019'!$B$167:$B$321,'14.mell_Önk kiegészítés2019'!$A54,'13.mell_ÖNKfeladatok2019'!U$167:U$321)</f>
        <v>0</v>
      </c>
      <c r="M194" s="772">
        <f>+SUMIF('13.mell_ÖNKfeladatok2019'!$B$167:$B$321,'14.mell_Önk kiegészítés2019'!$A54,'13.mell_ÖNKfeladatok2019'!Y$167:Y$321)</f>
        <v>0</v>
      </c>
      <c r="N194" s="772">
        <f>+SUMIF('13.mell_ÖNKfeladatok2019'!$B$167:$B$321,'14.mell_Önk kiegészítés2019'!$A54,'13.mell_ÖNKfeladatok2019'!AC$167:AC$321)</f>
        <v>0</v>
      </c>
      <c r="O194" s="772">
        <f>+SUMIF('13.mell_ÖNKfeladatok2019'!$B$167:$B$321,'14.mell_Önk kiegészítés2019'!$A54,'13.mell_ÖNKfeladatok2019'!AG$167:AG$321)</f>
        <v>0</v>
      </c>
      <c r="P194" s="772">
        <f>+SUMIF('13.mell_ÖNKfeladatok2019'!$B$167:$B$321,'14.mell_Önk kiegészítés2019'!$A54,'13.mell_ÖNKfeladatok2019'!AO$167:AO$321)</f>
        <v>0</v>
      </c>
      <c r="Q194" s="772">
        <f>+SUMIF('13.mell_ÖNKfeladatok2019'!$B$167:$B$321,'14.mell_Önk kiegészítés2019'!$A54,'13.mell_ÖNKfeladatok2019'!AS$167:AS$321)</f>
        <v>0</v>
      </c>
      <c r="R194" s="772">
        <f>+SUMIF('13.mell_ÖNKfeladatok2019'!$B$167:$B$321,'14.mell_Önk kiegészítés2019'!$A54,'13.mell_ÖNKfeladatok2019'!AW$167:AW$321)</f>
        <v>0</v>
      </c>
      <c r="S194" s="669">
        <f>SUM(K194:R194)</f>
        <v>0</v>
      </c>
      <c r="T194" s="670">
        <f>S194-J194</f>
        <v>0</v>
      </c>
      <c r="U194" s="1082">
        <f>+ROUND(SUMIF('10.mell_támogatások2019'!$B$6:$B$137,'14.mell_Önk kiegészítés2019'!$A54,'10.mell_támogatások2019'!F$6:F$137)/1000,0)</f>
        <v>0</v>
      </c>
      <c r="V194" s="671">
        <f>+T194-U194</f>
        <v>0</v>
      </c>
      <c r="AA194" s="486"/>
      <c r="AB194" s="226"/>
      <c r="AD194" s="226"/>
      <c r="AE194" s="226"/>
      <c r="AS194" s="486"/>
      <c r="AT194" s="486"/>
      <c r="AU194" s="486"/>
      <c r="AV194" s="486"/>
      <c r="BE194" s="486"/>
      <c r="BF194" s="486"/>
      <c r="BG194" s="486"/>
      <c r="BH194" s="486"/>
      <c r="BL194" s="226"/>
      <c r="BM194" s="226"/>
      <c r="BN194" s="226"/>
      <c r="BO194" s="226"/>
      <c r="BX194" s="226"/>
      <c r="BY194" s="226"/>
      <c r="BZ194" s="226"/>
      <c r="CA194" s="226"/>
    </row>
    <row r="195" spans="1:79" ht="12.75" thickBot="1">
      <c r="A195" s="309" t="s">
        <v>889</v>
      </c>
      <c r="B195" s="450" t="s">
        <v>864</v>
      </c>
      <c r="C195" s="502">
        <f t="shared" ref="C195:I195" si="580">SUM(C194)</f>
        <v>0</v>
      </c>
      <c r="D195" s="502">
        <f t="shared" si="580"/>
        <v>0</v>
      </c>
      <c r="E195" s="502">
        <f t="shared" si="580"/>
        <v>0</v>
      </c>
      <c r="F195" s="502">
        <f t="shared" si="580"/>
        <v>0</v>
      </c>
      <c r="G195" s="502">
        <f t="shared" si="580"/>
        <v>0</v>
      </c>
      <c r="H195" s="502">
        <f t="shared" si="580"/>
        <v>0</v>
      </c>
      <c r="I195" s="502">
        <f t="shared" si="580"/>
        <v>0</v>
      </c>
      <c r="J195" s="505">
        <f t="shared" ref="J195" si="581">SUM(J194)</f>
        <v>0</v>
      </c>
      <c r="K195" s="502">
        <f t="shared" ref="K195:R195" si="582">SUM(K194)</f>
        <v>0</v>
      </c>
      <c r="L195" s="502">
        <f t="shared" si="582"/>
        <v>0</v>
      </c>
      <c r="M195" s="502">
        <f t="shared" si="582"/>
        <v>0</v>
      </c>
      <c r="N195" s="502">
        <f t="shared" si="582"/>
        <v>0</v>
      </c>
      <c r="O195" s="502">
        <f t="shared" si="582"/>
        <v>0</v>
      </c>
      <c r="P195" s="502">
        <f t="shared" si="582"/>
        <v>0</v>
      </c>
      <c r="Q195" s="502">
        <f t="shared" si="582"/>
        <v>0</v>
      </c>
      <c r="R195" s="502">
        <f t="shared" si="582"/>
        <v>0</v>
      </c>
      <c r="S195" s="505">
        <f t="shared" ref="S195" si="583">SUM(S194)</f>
        <v>0</v>
      </c>
      <c r="T195" s="502">
        <f>SUM(T194)</f>
        <v>0</v>
      </c>
      <c r="U195" s="506">
        <f>SUM(U194)</f>
        <v>0</v>
      </c>
      <c r="V195" s="505">
        <f>SUM(V194)</f>
        <v>0</v>
      </c>
      <c r="AA195" s="486"/>
      <c r="AB195" s="226"/>
      <c r="AD195" s="226"/>
      <c r="AE195" s="226"/>
      <c r="AS195" s="486"/>
      <c r="AT195" s="486"/>
      <c r="AU195" s="486"/>
      <c r="AV195" s="486"/>
      <c r="BE195" s="486"/>
      <c r="BF195" s="486"/>
      <c r="BG195" s="486"/>
      <c r="BH195" s="486"/>
      <c r="BL195" s="226"/>
      <c r="BM195" s="226"/>
      <c r="BN195" s="226"/>
      <c r="BO195" s="226"/>
      <c r="BX195" s="226"/>
      <c r="BY195" s="226"/>
      <c r="BZ195" s="226"/>
      <c r="CA195" s="226"/>
    </row>
    <row r="196" spans="1:79" ht="12.75" thickBot="1">
      <c r="A196" s="781">
        <f>+A194+1</f>
        <v>30</v>
      </c>
      <c r="B196" s="782" t="s">
        <v>1086</v>
      </c>
      <c r="C196" s="783">
        <f>+SUMIF('13.mell_ÖNKfeladatok2019'!$B$5:$B$159,'14.mell_Önk kiegészítés2019'!$A56,'13.mell_ÖNKfeladatok2019'!Q$5:Q$159)</f>
        <v>0</v>
      </c>
      <c r="D196" s="783">
        <f>+SUMIF('13.mell_ÖNKfeladatok2019'!$B$5:$B$159,'14.mell_Önk kiegészítés2019'!$A56,'13.mell_ÖNKfeladatok2019'!U$5:U$159)</f>
        <v>0</v>
      </c>
      <c r="E196" s="783">
        <f>+SUMIF('13.mell_ÖNKfeladatok2019'!$B$5:$B$159,'14.mell_Önk kiegészítés2019'!$A56,'13.mell_ÖNKfeladatok2019'!Y$5:Y$159)</f>
        <v>0</v>
      </c>
      <c r="F196" s="783">
        <f>+SUMIF('13.mell_ÖNKfeladatok2019'!$B$5:$B$159,'14.mell_Önk kiegészítés2019'!$A56,'13.mell_ÖNKfeladatok2019'!AC$5:AC$159)</f>
        <v>0</v>
      </c>
      <c r="G196" s="783">
        <f>+SUMIF('13.mell_ÖNKfeladatok2019'!$B$5:$B$159,'14.mell_Önk kiegészítés2019'!$A56,'13.mell_ÖNKfeladatok2019'!AK$5:AK$159)</f>
        <v>0</v>
      </c>
      <c r="H196" s="783">
        <f>+SUMIF('13.mell_ÖNKfeladatok2019'!$B$5:$B$159,'14.mell_Önk kiegészítés2019'!$A56,'13.mell_ÖNKfeladatok2019'!AO$5:AO$159)</f>
        <v>0</v>
      </c>
      <c r="I196" s="783">
        <f>+SUMIF('13.mell_ÖNKfeladatok2019'!$B$5:$B$159,'14.mell_Önk kiegészítés2019'!$A56,'13.mell_ÖNKfeladatok2019'!AS$5:AS$159)</f>
        <v>0</v>
      </c>
      <c r="J196" s="784">
        <f>SUM(C196:I196)</f>
        <v>0</v>
      </c>
      <c r="K196" s="783">
        <f>+SUMIF('13.mell_ÖNKfeladatok2019'!$B$167:$B$321,'14.mell_Önk kiegészítés2019'!$A56,'13.mell_ÖNKfeladatok2019'!Q$167:Q$321)</f>
        <v>7643</v>
      </c>
      <c r="L196" s="783">
        <f>+SUMIF('13.mell_ÖNKfeladatok2019'!$B$167:$B$321,'14.mell_Önk kiegészítés2019'!$A56,'13.mell_ÖNKfeladatok2019'!U$167:U$321)</f>
        <v>1373</v>
      </c>
      <c r="M196" s="783">
        <f>+SUMIF('13.mell_ÖNKfeladatok2019'!$B$167:$B$321,'14.mell_Önk kiegészítés2019'!$A56,'13.mell_ÖNKfeladatok2019'!Y$167:Y$321)</f>
        <v>1121</v>
      </c>
      <c r="N196" s="783">
        <f>+SUMIF('13.mell_ÖNKfeladatok2019'!$B$167:$B$321,'14.mell_Önk kiegészítés2019'!$A56,'13.mell_ÖNKfeladatok2019'!AC$167:AC$321)</f>
        <v>0</v>
      </c>
      <c r="O196" s="783">
        <f>+SUMIF('13.mell_ÖNKfeladatok2019'!$B$167:$B$321,'14.mell_Önk kiegészítés2019'!$A56,'13.mell_ÖNKfeladatok2019'!AG$167:AG$321)</f>
        <v>15</v>
      </c>
      <c r="P196" s="783">
        <f>+SUMIF('13.mell_ÖNKfeladatok2019'!$B$167:$B$321,'14.mell_Önk kiegészítés2019'!$A56,'13.mell_ÖNKfeladatok2019'!AO$167:AO$321)</f>
        <v>288</v>
      </c>
      <c r="Q196" s="783">
        <f>+SUMIF('13.mell_ÖNKfeladatok2019'!$B$167:$B$321,'14.mell_Önk kiegészítés2019'!$A56,'13.mell_ÖNKfeladatok2019'!AS$167:AS$321)</f>
        <v>0</v>
      </c>
      <c r="R196" s="783">
        <f>+SUMIF('13.mell_ÖNKfeladatok2019'!$B$167:$B$321,'14.mell_Önk kiegészítés2019'!$A56,'13.mell_ÖNKfeladatok2019'!AW$167:AW$321)</f>
        <v>0</v>
      </c>
      <c r="S196" s="784">
        <f>SUM(K196:R196)</f>
        <v>10440</v>
      </c>
      <c r="T196" s="502">
        <f>S196-J196</f>
        <v>10440</v>
      </c>
      <c r="U196" s="1085">
        <f>+ROUND(SUMIF('10.mell_támogatások2019'!$B$6:$B$137,'14.mell_Önk kiegészítés2019'!$A56,'10.mell_támogatások2019'!F$6:F$137)/1000,0)+15</f>
        <v>15</v>
      </c>
      <c r="V196" s="505">
        <f>+T196-U196</f>
        <v>10425</v>
      </c>
      <c r="AA196" s="486"/>
      <c r="AB196" s="226">
        <v>15</v>
      </c>
      <c r="AD196" s="226"/>
      <c r="AE196" s="226"/>
      <c r="AS196" s="486"/>
      <c r="AT196" s="486"/>
      <c r="AU196" s="486"/>
      <c r="AV196" s="486"/>
      <c r="BE196" s="486"/>
      <c r="BF196" s="486"/>
      <c r="BG196" s="486"/>
      <c r="BH196" s="486"/>
      <c r="BL196" s="226"/>
      <c r="BM196" s="226"/>
      <c r="BN196" s="226"/>
      <c r="BO196" s="226"/>
      <c r="BX196" s="226"/>
      <c r="BY196" s="226"/>
      <c r="BZ196" s="226"/>
      <c r="CA196" s="226"/>
    </row>
    <row r="197" spans="1:79" ht="12.75" thickBot="1">
      <c r="A197" s="458" t="s">
        <v>890</v>
      </c>
      <c r="B197" s="459" t="s">
        <v>865</v>
      </c>
      <c r="C197" s="502">
        <f t="shared" ref="C197:I197" si="584">SUM(C196)</f>
        <v>0</v>
      </c>
      <c r="D197" s="502">
        <f t="shared" si="584"/>
        <v>0</v>
      </c>
      <c r="E197" s="502">
        <f t="shared" si="584"/>
        <v>0</v>
      </c>
      <c r="F197" s="502">
        <f t="shared" si="584"/>
        <v>0</v>
      </c>
      <c r="G197" s="502">
        <f t="shared" si="584"/>
        <v>0</v>
      </c>
      <c r="H197" s="502">
        <f t="shared" si="584"/>
        <v>0</v>
      </c>
      <c r="I197" s="502">
        <f t="shared" si="584"/>
        <v>0</v>
      </c>
      <c r="J197" s="505">
        <f t="shared" ref="J197" si="585">SUM(J196)</f>
        <v>0</v>
      </c>
      <c r="K197" s="502">
        <f t="shared" ref="K197:R197" si="586">SUM(K196)</f>
        <v>7643</v>
      </c>
      <c r="L197" s="502">
        <f t="shared" si="586"/>
        <v>1373</v>
      </c>
      <c r="M197" s="502">
        <f t="shared" si="586"/>
        <v>1121</v>
      </c>
      <c r="N197" s="502">
        <f t="shared" si="586"/>
        <v>0</v>
      </c>
      <c r="O197" s="502">
        <f t="shared" si="586"/>
        <v>15</v>
      </c>
      <c r="P197" s="502">
        <f t="shared" si="586"/>
        <v>288</v>
      </c>
      <c r="Q197" s="502">
        <f t="shared" si="586"/>
        <v>0</v>
      </c>
      <c r="R197" s="502">
        <f t="shared" si="586"/>
        <v>0</v>
      </c>
      <c r="S197" s="505">
        <f t="shared" ref="S197" si="587">SUM(S196)</f>
        <v>10440</v>
      </c>
      <c r="T197" s="502">
        <f>SUM(T196)</f>
        <v>10440</v>
      </c>
      <c r="U197" s="506">
        <f>SUM(U196)</f>
        <v>15</v>
      </c>
      <c r="V197" s="505">
        <f>SUM(V196)</f>
        <v>10425</v>
      </c>
      <c r="AA197" s="486"/>
      <c r="AB197" s="226"/>
      <c r="AD197" s="226"/>
      <c r="AE197" s="226"/>
      <c r="AS197" s="486"/>
      <c r="AT197" s="486"/>
      <c r="AU197" s="486"/>
      <c r="AV197" s="486"/>
      <c r="BE197" s="486"/>
      <c r="BF197" s="486"/>
      <c r="BG197" s="486"/>
      <c r="BH197" s="486"/>
      <c r="BL197" s="226"/>
      <c r="BM197" s="226"/>
      <c r="BN197" s="226"/>
      <c r="BO197" s="226"/>
      <c r="BX197" s="226"/>
      <c r="BY197" s="226"/>
      <c r="BZ197" s="226"/>
      <c r="CA197" s="226"/>
    </row>
    <row r="198" spans="1:79" ht="12.75" thickBot="1">
      <c r="A198" s="781">
        <f>+A196+1</f>
        <v>31</v>
      </c>
      <c r="B198" s="782" t="s">
        <v>892</v>
      </c>
      <c r="C198" s="783">
        <f>+SUMIF('13.mell_ÖNKfeladatok2019'!$B$5:$B$159,'14.mell_Önk kiegészítés2019'!$A58,'13.mell_ÖNKfeladatok2019'!Q$5:Q$159)</f>
        <v>0</v>
      </c>
      <c r="D198" s="783">
        <f>+SUMIF('13.mell_ÖNKfeladatok2019'!$B$5:$B$159,'14.mell_Önk kiegészítés2019'!$A58,'13.mell_ÖNKfeladatok2019'!U$5:U$159)</f>
        <v>0</v>
      </c>
      <c r="E198" s="783">
        <f>+SUMIF('13.mell_ÖNKfeladatok2019'!$B$5:$B$159,'14.mell_Önk kiegészítés2019'!$A58,'13.mell_ÖNKfeladatok2019'!Y$5:Y$159)</f>
        <v>0</v>
      </c>
      <c r="F198" s="783">
        <f>+SUMIF('13.mell_ÖNKfeladatok2019'!$B$5:$B$159,'14.mell_Önk kiegészítés2019'!$A58,'13.mell_ÖNKfeladatok2019'!AC$5:AC$159)</f>
        <v>0</v>
      </c>
      <c r="G198" s="783">
        <f>+SUMIF('13.mell_ÖNKfeladatok2019'!$B$5:$B$159,'14.mell_Önk kiegészítés2019'!$A58,'13.mell_ÖNKfeladatok2019'!AK$5:AK$159)</f>
        <v>0</v>
      </c>
      <c r="H198" s="783">
        <f>+SUMIF('13.mell_ÖNKfeladatok2019'!$B$5:$B$159,'14.mell_Önk kiegészítés2019'!$A58,'13.mell_ÖNKfeladatok2019'!AO$5:AO$159)</f>
        <v>0</v>
      </c>
      <c r="I198" s="783">
        <f>+SUMIF('13.mell_ÖNKfeladatok2019'!$B$5:$B$159,'14.mell_Önk kiegészítés2019'!$A58,'13.mell_ÖNKfeladatok2019'!AS$5:AS$159)</f>
        <v>0</v>
      </c>
      <c r="J198" s="784">
        <f>SUM(C198:I198)</f>
        <v>0</v>
      </c>
      <c r="K198" s="783">
        <f>+SUMIF('13.mell_ÖNKfeladatok2019'!$B$167:$B$321,'14.mell_Önk kiegészítés2019'!$A58,'13.mell_ÖNKfeladatok2019'!Q$167:Q$321)</f>
        <v>0</v>
      </c>
      <c r="L198" s="783">
        <f>+SUMIF('13.mell_ÖNKfeladatok2019'!$B$167:$B$321,'14.mell_Önk kiegészítés2019'!$A58,'13.mell_ÖNKfeladatok2019'!U$167:U$321)</f>
        <v>0</v>
      </c>
      <c r="M198" s="783">
        <f>+SUMIF('13.mell_ÖNKfeladatok2019'!$B$167:$B$321,'14.mell_Önk kiegészítés2019'!$A58,'13.mell_ÖNKfeladatok2019'!Y$167:Y$321)</f>
        <v>0</v>
      </c>
      <c r="N198" s="783">
        <f>+SUMIF('13.mell_ÖNKfeladatok2019'!$B$167:$B$321,'14.mell_Önk kiegészítés2019'!$A58,'13.mell_ÖNKfeladatok2019'!AC$167:AC$321)</f>
        <v>0</v>
      </c>
      <c r="O198" s="783">
        <f>+SUMIF('13.mell_ÖNKfeladatok2019'!$B$167:$B$321,'14.mell_Önk kiegészítés2019'!$A58,'13.mell_ÖNKfeladatok2019'!AG$167:AG$321)</f>
        <v>0</v>
      </c>
      <c r="P198" s="783">
        <f>+SUMIF('13.mell_ÖNKfeladatok2019'!$B$167:$B$321,'14.mell_Önk kiegészítés2019'!$A58,'13.mell_ÖNKfeladatok2019'!AO$167:AO$321)</f>
        <v>0</v>
      </c>
      <c r="Q198" s="783">
        <f>+SUMIF('13.mell_ÖNKfeladatok2019'!$B$167:$B$321,'14.mell_Önk kiegészítés2019'!$A58,'13.mell_ÖNKfeladatok2019'!AS$167:AS$321)</f>
        <v>0</v>
      </c>
      <c r="R198" s="783">
        <f>+SUMIF('13.mell_ÖNKfeladatok2019'!$B$167:$B$321,'14.mell_Önk kiegészítés2019'!$A58,'13.mell_ÖNKfeladatok2019'!AW$167:AW$321)</f>
        <v>0</v>
      </c>
      <c r="S198" s="784">
        <f>SUM(K198:R198)</f>
        <v>0</v>
      </c>
      <c r="T198" s="502">
        <f>S198-J198</f>
        <v>0</v>
      </c>
      <c r="U198" s="1085">
        <f>+ROUND(SUMIF('10.mell_támogatások2019'!$B$6:$B$137,'14.mell_Önk kiegészítés2019'!$A58,'10.mell_támogatások2019'!F$6:F$137)/1000,0)</f>
        <v>0</v>
      </c>
      <c r="V198" s="505">
        <f>+T198-U198</f>
        <v>0</v>
      </c>
      <c r="AA198" s="486"/>
      <c r="AB198" s="226"/>
      <c r="AD198" s="226"/>
      <c r="AE198" s="226"/>
      <c r="AS198" s="486"/>
      <c r="AT198" s="486"/>
      <c r="AU198" s="486"/>
      <c r="AV198" s="486"/>
      <c r="BE198" s="486"/>
      <c r="BF198" s="486"/>
      <c r="BG198" s="486"/>
      <c r="BH198" s="486"/>
      <c r="BL198" s="226"/>
      <c r="BM198" s="226"/>
      <c r="BN198" s="226"/>
      <c r="BO198" s="226"/>
      <c r="BX198" s="226"/>
      <c r="BY198" s="226"/>
      <c r="BZ198" s="226"/>
      <c r="CA198" s="226"/>
    </row>
    <row r="199" spans="1:79" ht="12.75" thickBot="1">
      <c r="A199" s="458" t="s">
        <v>891</v>
      </c>
      <c r="B199" s="459" t="s">
        <v>892</v>
      </c>
      <c r="C199" s="502">
        <f t="shared" ref="C199:I199" si="588">SUM(C198)</f>
        <v>0</v>
      </c>
      <c r="D199" s="502">
        <f t="shared" si="588"/>
        <v>0</v>
      </c>
      <c r="E199" s="502">
        <f t="shared" si="588"/>
        <v>0</v>
      </c>
      <c r="F199" s="502">
        <f t="shared" si="588"/>
        <v>0</v>
      </c>
      <c r="G199" s="502">
        <f t="shared" si="588"/>
        <v>0</v>
      </c>
      <c r="H199" s="502">
        <f t="shared" si="588"/>
        <v>0</v>
      </c>
      <c r="I199" s="502">
        <f t="shared" si="588"/>
        <v>0</v>
      </c>
      <c r="J199" s="505">
        <f t="shared" ref="J199" si="589">SUM(J198)</f>
        <v>0</v>
      </c>
      <c r="K199" s="502">
        <f t="shared" ref="K199:R199" si="590">SUM(K198)</f>
        <v>0</v>
      </c>
      <c r="L199" s="502">
        <f t="shared" si="590"/>
        <v>0</v>
      </c>
      <c r="M199" s="502">
        <f t="shared" si="590"/>
        <v>0</v>
      </c>
      <c r="N199" s="502">
        <f t="shared" si="590"/>
        <v>0</v>
      </c>
      <c r="O199" s="502">
        <f t="shared" si="590"/>
        <v>0</v>
      </c>
      <c r="P199" s="502">
        <f t="shared" si="590"/>
        <v>0</v>
      </c>
      <c r="Q199" s="502">
        <f t="shared" si="590"/>
        <v>0</v>
      </c>
      <c r="R199" s="502">
        <f t="shared" si="590"/>
        <v>0</v>
      </c>
      <c r="S199" s="505">
        <f t="shared" ref="S199" si="591">SUM(S198)</f>
        <v>0</v>
      </c>
      <c r="T199" s="502">
        <f>SUM(T198)</f>
        <v>0</v>
      </c>
      <c r="U199" s="506">
        <f>SUM(U198)</f>
        <v>0</v>
      </c>
      <c r="V199" s="505">
        <f>SUM(V198)</f>
        <v>0</v>
      </c>
      <c r="AA199" s="486"/>
      <c r="AB199" s="226"/>
      <c r="AD199" s="226"/>
      <c r="AE199" s="226"/>
      <c r="AS199" s="486"/>
      <c r="AT199" s="486"/>
      <c r="AU199" s="486"/>
      <c r="AV199" s="486"/>
      <c r="BE199" s="486"/>
      <c r="BF199" s="486"/>
      <c r="BG199" s="486"/>
      <c r="BH199" s="486"/>
      <c r="BL199" s="226"/>
      <c r="BM199" s="226"/>
      <c r="BN199" s="226"/>
      <c r="BO199" s="226"/>
      <c r="BX199" s="226"/>
      <c r="BY199" s="226"/>
      <c r="BZ199" s="226"/>
      <c r="CA199" s="226"/>
    </row>
    <row r="200" spans="1:79" ht="12.75" thickBot="1">
      <c r="A200" s="452" t="s">
        <v>560</v>
      </c>
      <c r="B200" s="462" t="s">
        <v>866</v>
      </c>
      <c r="C200" s="511">
        <f t="shared" ref="C200:I200" si="592">+C195+C197+C199</f>
        <v>0</v>
      </c>
      <c r="D200" s="511">
        <f t="shared" si="592"/>
        <v>0</v>
      </c>
      <c r="E200" s="511">
        <f t="shared" si="592"/>
        <v>0</v>
      </c>
      <c r="F200" s="511">
        <f t="shared" si="592"/>
        <v>0</v>
      </c>
      <c r="G200" s="511">
        <f t="shared" si="592"/>
        <v>0</v>
      </c>
      <c r="H200" s="511">
        <f t="shared" si="592"/>
        <v>0</v>
      </c>
      <c r="I200" s="511">
        <f t="shared" si="592"/>
        <v>0</v>
      </c>
      <c r="J200" s="514">
        <f t="shared" ref="J200" si="593">+J195+J197+J199</f>
        <v>0</v>
      </c>
      <c r="K200" s="511">
        <f t="shared" ref="K200:R200" si="594">+K195+K197+K199</f>
        <v>7643</v>
      </c>
      <c r="L200" s="511">
        <f t="shared" si="594"/>
        <v>1373</v>
      </c>
      <c r="M200" s="511">
        <f t="shared" si="594"/>
        <v>1121</v>
      </c>
      <c r="N200" s="511">
        <f t="shared" si="594"/>
        <v>0</v>
      </c>
      <c r="O200" s="511">
        <f t="shared" si="594"/>
        <v>15</v>
      </c>
      <c r="P200" s="511">
        <f t="shared" si="594"/>
        <v>288</v>
      </c>
      <c r="Q200" s="511">
        <f t="shared" si="594"/>
        <v>0</v>
      </c>
      <c r="R200" s="511">
        <f t="shared" si="594"/>
        <v>0</v>
      </c>
      <c r="S200" s="514">
        <f t="shared" ref="S200" si="595">+S195+S197+S199</f>
        <v>10440</v>
      </c>
      <c r="T200" s="511">
        <f>+T195+T197+T199</f>
        <v>10440</v>
      </c>
      <c r="U200" s="513">
        <f>+U195+U197+U199</f>
        <v>15</v>
      </c>
      <c r="V200" s="514">
        <f>+V195+V197+V199</f>
        <v>10425</v>
      </c>
      <c r="AA200" s="486"/>
      <c r="AB200" s="226"/>
      <c r="AD200" s="226"/>
      <c r="AE200" s="226"/>
      <c r="AS200" s="486"/>
      <c r="AT200" s="486"/>
      <c r="AU200" s="486"/>
      <c r="AV200" s="486"/>
      <c r="BE200" s="486"/>
      <c r="BF200" s="486"/>
      <c r="BG200" s="486"/>
      <c r="BH200" s="486"/>
      <c r="BL200" s="226"/>
      <c r="BM200" s="226"/>
      <c r="BN200" s="226"/>
      <c r="BO200" s="226"/>
      <c r="BX200" s="226"/>
      <c r="BY200" s="226"/>
      <c r="BZ200" s="226"/>
      <c r="CA200" s="226"/>
    </row>
    <row r="201" spans="1:79" ht="12.75" thickBot="1">
      <c r="A201" s="473"/>
      <c r="B201" s="526"/>
      <c r="C201" s="515"/>
      <c r="D201" s="516"/>
      <c r="E201" s="516"/>
      <c r="F201" s="516"/>
      <c r="G201" s="516"/>
      <c r="H201" s="516"/>
      <c r="I201" s="517"/>
      <c r="J201" s="518"/>
      <c r="K201" s="527"/>
      <c r="L201" s="527"/>
      <c r="M201" s="527"/>
      <c r="N201" s="527"/>
      <c r="O201" s="527"/>
      <c r="P201" s="527"/>
      <c r="Q201" s="527"/>
      <c r="R201" s="527"/>
      <c r="S201" s="525"/>
      <c r="T201" s="522"/>
      <c r="U201" s="1087"/>
      <c r="V201" s="525"/>
      <c r="AA201" s="486"/>
      <c r="AB201" s="226"/>
      <c r="AD201" s="226"/>
      <c r="AE201" s="226"/>
      <c r="AS201" s="486"/>
      <c r="AT201" s="486"/>
      <c r="AU201" s="486"/>
      <c r="AV201" s="486"/>
      <c r="BE201" s="486"/>
      <c r="BF201" s="486"/>
      <c r="BG201" s="486"/>
      <c r="BH201" s="486"/>
      <c r="BL201" s="226"/>
      <c r="BM201" s="226"/>
      <c r="BN201" s="226"/>
      <c r="BO201" s="226"/>
      <c r="BX201" s="226"/>
      <c r="BY201" s="226"/>
      <c r="BZ201" s="226"/>
      <c r="CA201" s="226"/>
    </row>
    <row r="202" spans="1:79" ht="12.75" thickBot="1">
      <c r="A202" s="734">
        <f>+A198+1</f>
        <v>32</v>
      </c>
      <c r="B202" s="668" t="s">
        <v>1169</v>
      </c>
      <c r="C202" s="772">
        <f>+SUMIF('13.mell_ÖNKfeladatok2019'!$B$5:$B$159,'14.mell_Önk kiegészítés2019'!$A62,'13.mell_ÖNKfeladatok2019'!Q$5:Q$159)</f>
        <v>0</v>
      </c>
      <c r="D202" s="772">
        <f>+SUMIF('13.mell_ÖNKfeladatok2019'!$B$5:$B$159,'14.mell_Önk kiegészítés2019'!$A62,'13.mell_ÖNKfeladatok2019'!U$5:U$159)</f>
        <v>0</v>
      </c>
      <c r="E202" s="772">
        <f>+SUMIF('13.mell_ÖNKfeladatok2019'!$B$5:$B$159,'14.mell_Önk kiegészítés2019'!$A62,'13.mell_ÖNKfeladatok2019'!Y$5:Y$159)</f>
        <v>0</v>
      </c>
      <c r="F202" s="772">
        <f>+SUMIF('13.mell_ÖNKfeladatok2019'!$B$5:$B$159,'14.mell_Önk kiegészítés2019'!$A62,'13.mell_ÖNKfeladatok2019'!AC$5:AC$159)</f>
        <v>0</v>
      </c>
      <c r="G202" s="772">
        <f>+SUMIF('13.mell_ÖNKfeladatok2019'!$B$5:$B$159,'14.mell_Önk kiegészítés2019'!$A62,'13.mell_ÖNKfeladatok2019'!AK$5:AK$159)</f>
        <v>0</v>
      </c>
      <c r="H202" s="772">
        <f>+SUMIF('13.mell_ÖNKfeladatok2019'!$B$5:$B$159,'14.mell_Önk kiegészítés2019'!$A62,'13.mell_ÖNKfeladatok2019'!AO$5:AO$159)</f>
        <v>0</v>
      </c>
      <c r="I202" s="772">
        <f>+SUMIF('13.mell_ÖNKfeladatok2019'!$B$5:$B$159,'14.mell_Önk kiegészítés2019'!$A62,'13.mell_ÖNKfeladatok2019'!AS$5:AS$159)</f>
        <v>0</v>
      </c>
      <c r="J202" s="669">
        <f>SUM(C202:I202)</f>
        <v>0</v>
      </c>
      <c r="K202" s="772">
        <f>+SUMIF('13.mell_ÖNKfeladatok2019'!$B$167:$B$321,'14.mell_Önk kiegészítés2019'!$A62,'13.mell_ÖNKfeladatok2019'!Q$167:Q$321)</f>
        <v>58588</v>
      </c>
      <c r="L202" s="772">
        <f>+SUMIF('13.mell_ÖNKfeladatok2019'!$B$167:$B$321,'14.mell_Önk kiegészítés2019'!$A62,'13.mell_ÖNKfeladatok2019'!U$167:U$321)</f>
        <v>10844</v>
      </c>
      <c r="M202" s="772">
        <f>+SUMIF('13.mell_ÖNKfeladatok2019'!$B$167:$B$321,'14.mell_Önk kiegészítés2019'!$A62,'13.mell_ÖNKfeladatok2019'!Y$167:Y$321)</f>
        <v>6448</v>
      </c>
      <c r="N202" s="772">
        <f>+SUMIF('13.mell_ÖNKfeladatok2019'!$B$167:$B$321,'14.mell_Önk kiegészítés2019'!$A62,'13.mell_ÖNKfeladatok2019'!AC$167:AC$321)</f>
        <v>0</v>
      </c>
      <c r="O202" s="772">
        <f>+SUMIF('13.mell_ÖNKfeladatok2019'!$B$167:$B$321,'14.mell_Önk kiegészítés2019'!$A62,'13.mell_ÖNKfeladatok2019'!AG$167:AG$321)</f>
        <v>147</v>
      </c>
      <c r="P202" s="772">
        <f>+SUMIF('13.mell_ÖNKfeladatok2019'!$B$167:$B$321,'14.mell_Önk kiegészítés2019'!$A62,'13.mell_ÖNKfeladatok2019'!AO$167:AO$321)</f>
        <v>37646</v>
      </c>
      <c r="Q202" s="772">
        <f>+SUMIF('13.mell_ÖNKfeladatok2019'!$B$167:$B$321,'14.mell_Önk kiegészítés2019'!$A62,'13.mell_ÖNKfeladatok2019'!AS$167:AS$321)</f>
        <v>4509</v>
      </c>
      <c r="R202" s="772">
        <f>+SUMIF('13.mell_ÖNKfeladatok2019'!$B$167:$B$321,'14.mell_Önk kiegészítés2019'!$A62,'13.mell_ÖNKfeladatok2019'!AW$167:AW$321)</f>
        <v>0</v>
      </c>
      <c r="S202" s="669">
        <f>SUM(K202:R202)</f>
        <v>118182</v>
      </c>
      <c r="T202" s="670">
        <f>S202-J202</f>
        <v>118182</v>
      </c>
      <c r="U202" s="1082">
        <f>+ROUND(SUMIF('10.mell_támogatások2019'!$B$6:$B$137,'14.mell_Önk kiegészítés2019'!$A62,'10.mell_támogatások2019'!F$6:F$137)/1000,0)+147+494</f>
        <v>88874</v>
      </c>
      <c r="V202" s="671">
        <f>+T202-U202</f>
        <v>29308</v>
      </c>
      <c r="AA202" s="486"/>
      <c r="AB202" s="226">
        <v>147</v>
      </c>
      <c r="AD202" s="226"/>
      <c r="AE202" s="226">
        <f>((0+(201+39))+(72+13))+(108+19)+42</f>
        <v>494</v>
      </c>
      <c r="AS202" s="486"/>
      <c r="AT202" s="486"/>
      <c r="AU202" s="486"/>
      <c r="AV202" s="486"/>
      <c r="BE202" s="486"/>
      <c r="BF202" s="486"/>
      <c r="BG202" s="486"/>
      <c r="BH202" s="486"/>
      <c r="BL202" s="226"/>
      <c r="BM202" s="226"/>
      <c r="BN202" s="226"/>
      <c r="BO202" s="226"/>
      <c r="BX202" s="226"/>
      <c r="BY202" s="226"/>
      <c r="BZ202" s="226"/>
      <c r="CA202" s="226"/>
    </row>
    <row r="203" spans="1:79" ht="12.75" thickBot="1">
      <c r="A203" s="309" t="s">
        <v>1157</v>
      </c>
      <c r="B203" s="450" t="s">
        <v>1109</v>
      </c>
      <c r="C203" s="502">
        <f t="shared" ref="C203:I203" si="596">SUM(C202)</f>
        <v>0</v>
      </c>
      <c r="D203" s="502">
        <f t="shared" si="596"/>
        <v>0</v>
      </c>
      <c r="E203" s="502">
        <f t="shared" si="596"/>
        <v>0</v>
      </c>
      <c r="F203" s="502">
        <f t="shared" si="596"/>
        <v>0</v>
      </c>
      <c r="G203" s="502">
        <f t="shared" si="596"/>
        <v>0</v>
      </c>
      <c r="H203" s="502">
        <f t="shared" si="596"/>
        <v>0</v>
      </c>
      <c r="I203" s="502">
        <f t="shared" si="596"/>
        <v>0</v>
      </c>
      <c r="J203" s="505">
        <f t="shared" ref="J203" si="597">SUM(J202)</f>
        <v>0</v>
      </c>
      <c r="K203" s="502">
        <f t="shared" ref="K203:R203" si="598">SUM(K202)</f>
        <v>58588</v>
      </c>
      <c r="L203" s="502">
        <f t="shared" si="598"/>
        <v>10844</v>
      </c>
      <c r="M203" s="502">
        <f t="shared" si="598"/>
        <v>6448</v>
      </c>
      <c r="N203" s="502">
        <f t="shared" si="598"/>
        <v>0</v>
      </c>
      <c r="O203" s="502">
        <f t="shared" si="598"/>
        <v>147</v>
      </c>
      <c r="P203" s="502">
        <f t="shared" si="598"/>
        <v>37646</v>
      </c>
      <c r="Q203" s="502">
        <f t="shared" si="598"/>
        <v>4509</v>
      </c>
      <c r="R203" s="502">
        <f t="shared" si="598"/>
        <v>0</v>
      </c>
      <c r="S203" s="505">
        <f t="shared" ref="S203" si="599">SUM(S202)</f>
        <v>118182</v>
      </c>
      <c r="T203" s="502">
        <f>SUM(T202)</f>
        <v>118182</v>
      </c>
      <c r="U203" s="506">
        <f>SUM(U202)</f>
        <v>88874</v>
      </c>
      <c r="V203" s="505">
        <f>SUM(V202)</f>
        <v>29308</v>
      </c>
      <c r="AA203" s="486"/>
      <c r="AB203" s="226"/>
      <c r="AD203" s="226"/>
      <c r="AE203" s="226"/>
      <c r="AS203" s="486"/>
      <c r="AT203" s="486"/>
      <c r="AU203" s="486"/>
      <c r="AV203" s="486"/>
      <c r="BE203" s="486"/>
      <c r="BF203" s="486"/>
      <c r="BG203" s="486"/>
      <c r="BH203" s="486"/>
      <c r="BL203" s="226"/>
      <c r="BM203" s="226"/>
      <c r="BN203" s="226"/>
      <c r="BO203" s="226"/>
      <c r="BX203" s="226"/>
      <c r="BY203" s="226"/>
      <c r="BZ203" s="226"/>
      <c r="CA203" s="226"/>
    </row>
    <row r="204" spans="1:79" ht="12.75" thickBot="1">
      <c r="A204" s="781">
        <f>+A202+1</f>
        <v>33</v>
      </c>
      <c r="B204" s="782" t="s">
        <v>1111</v>
      </c>
      <c r="C204" s="783">
        <f>+SUMIF('13.mell_ÖNKfeladatok2019'!$B$5:$B$159,'14.mell_Önk kiegészítés2019'!$A64,'13.mell_ÖNKfeladatok2019'!Q$5:Q$159)</f>
        <v>0</v>
      </c>
      <c r="D204" s="783">
        <f>+SUMIF('13.mell_ÖNKfeladatok2019'!$B$5:$B$159,'14.mell_Önk kiegészítés2019'!$A64,'13.mell_ÖNKfeladatok2019'!U$5:U$159)</f>
        <v>0</v>
      </c>
      <c r="E204" s="783">
        <f>+SUMIF('13.mell_ÖNKfeladatok2019'!$B$5:$B$159,'14.mell_Önk kiegészítés2019'!$A64,'13.mell_ÖNKfeladatok2019'!Y$5:Y$159)</f>
        <v>0</v>
      </c>
      <c r="F204" s="783">
        <f>+SUMIF('13.mell_ÖNKfeladatok2019'!$B$5:$B$159,'14.mell_Önk kiegészítés2019'!$A64,'13.mell_ÖNKfeladatok2019'!AC$5:AC$159)</f>
        <v>0</v>
      </c>
      <c r="G204" s="783">
        <f>+SUMIF('13.mell_ÖNKfeladatok2019'!$B$5:$B$159,'14.mell_Önk kiegészítés2019'!$A64,'13.mell_ÖNKfeladatok2019'!AK$5:AK$159)</f>
        <v>0</v>
      </c>
      <c r="H204" s="783">
        <f>+SUMIF('13.mell_ÖNKfeladatok2019'!$B$5:$B$159,'14.mell_Önk kiegészítés2019'!$A64,'13.mell_ÖNKfeladatok2019'!AO$5:AO$159)</f>
        <v>0</v>
      </c>
      <c r="I204" s="783">
        <f>+SUMIF('13.mell_ÖNKfeladatok2019'!$B$5:$B$159,'14.mell_Önk kiegészítés2019'!$A64,'13.mell_ÖNKfeladatok2019'!AS$5:AS$159)</f>
        <v>0</v>
      </c>
      <c r="J204" s="784">
        <f>SUM(C204:I204)</f>
        <v>0</v>
      </c>
      <c r="K204" s="783">
        <f>+SUMIF('13.mell_ÖNKfeladatok2019'!$B$167:$B$321,'14.mell_Önk kiegészítés2019'!$A64,'13.mell_ÖNKfeladatok2019'!Q$167:Q$321)</f>
        <v>0</v>
      </c>
      <c r="L204" s="783">
        <f>+SUMIF('13.mell_ÖNKfeladatok2019'!$B$167:$B$321,'14.mell_Önk kiegészítés2019'!$A64,'13.mell_ÖNKfeladatok2019'!U$167:U$321)</f>
        <v>0</v>
      </c>
      <c r="M204" s="783">
        <f>+SUMIF('13.mell_ÖNKfeladatok2019'!$B$167:$B$321,'14.mell_Önk kiegészítés2019'!$A64,'13.mell_ÖNKfeladatok2019'!Y$167:Y$321)</f>
        <v>0</v>
      </c>
      <c r="N204" s="783">
        <f>+SUMIF('13.mell_ÖNKfeladatok2019'!$B$167:$B$321,'14.mell_Önk kiegészítés2019'!$A64,'13.mell_ÖNKfeladatok2019'!AC$167:AC$321)</f>
        <v>0</v>
      </c>
      <c r="O204" s="783">
        <f>+SUMIF('13.mell_ÖNKfeladatok2019'!$B$167:$B$321,'14.mell_Önk kiegészítés2019'!$A64,'13.mell_ÖNKfeladatok2019'!AG$167:AG$321)</f>
        <v>0</v>
      </c>
      <c r="P204" s="783">
        <f>+SUMIF('13.mell_ÖNKfeladatok2019'!$B$167:$B$321,'14.mell_Önk kiegészítés2019'!$A64,'13.mell_ÖNKfeladatok2019'!AO$167:AO$321)</f>
        <v>0</v>
      </c>
      <c r="Q204" s="783">
        <f>+SUMIF('13.mell_ÖNKfeladatok2019'!$B$167:$B$321,'14.mell_Önk kiegészítés2019'!$A64,'13.mell_ÖNKfeladatok2019'!AS$167:AS$321)</f>
        <v>0</v>
      </c>
      <c r="R204" s="783">
        <f>+SUMIF('13.mell_ÖNKfeladatok2019'!$B$167:$B$321,'14.mell_Önk kiegészítés2019'!$A64,'13.mell_ÖNKfeladatok2019'!AW$167:AW$321)</f>
        <v>0</v>
      </c>
      <c r="S204" s="784">
        <f>SUM(K204:R204)</f>
        <v>0</v>
      </c>
      <c r="T204" s="502">
        <f>S204-J204</f>
        <v>0</v>
      </c>
      <c r="U204" s="1085">
        <f>+ROUND(SUMIF('10.mell_támogatások2019'!$B$6:$B$137,'14.mell_Önk kiegészítés2019'!$A64,'10.mell_támogatások2019'!F$6:F$137)/1000,0)</f>
        <v>0</v>
      </c>
      <c r="V204" s="505">
        <f>+T204-U204</f>
        <v>0</v>
      </c>
      <c r="AA204" s="486"/>
      <c r="AB204" s="226"/>
      <c r="AD204" s="226"/>
      <c r="AE204" s="226"/>
      <c r="AS204" s="486"/>
      <c r="AT204" s="486"/>
      <c r="AU204" s="486"/>
      <c r="AV204" s="486"/>
      <c r="BE204" s="486"/>
      <c r="BF204" s="486"/>
      <c r="BG204" s="486"/>
      <c r="BH204" s="486"/>
      <c r="BL204" s="226"/>
      <c r="BM204" s="226"/>
      <c r="BN204" s="226"/>
      <c r="BO204" s="226"/>
      <c r="BX204" s="226"/>
      <c r="BY204" s="226"/>
      <c r="BZ204" s="226"/>
      <c r="CA204" s="226"/>
    </row>
    <row r="205" spans="1:79" ht="12.75" thickBot="1">
      <c r="A205" s="458" t="s">
        <v>1158</v>
      </c>
      <c r="B205" s="459" t="s">
        <v>1110</v>
      </c>
      <c r="C205" s="502">
        <f t="shared" ref="C205:I205" si="600">SUM(C204)</f>
        <v>0</v>
      </c>
      <c r="D205" s="502">
        <f t="shared" si="600"/>
        <v>0</v>
      </c>
      <c r="E205" s="502">
        <f t="shared" si="600"/>
        <v>0</v>
      </c>
      <c r="F205" s="502">
        <f t="shared" si="600"/>
        <v>0</v>
      </c>
      <c r="G205" s="502">
        <f t="shared" si="600"/>
        <v>0</v>
      </c>
      <c r="H205" s="502">
        <f t="shared" si="600"/>
        <v>0</v>
      </c>
      <c r="I205" s="502">
        <f t="shared" si="600"/>
        <v>0</v>
      </c>
      <c r="J205" s="505">
        <f t="shared" ref="J205" si="601">SUM(J204)</f>
        <v>0</v>
      </c>
      <c r="K205" s="502">
        <f t="shared" ref="K205:R205" si="602">SUM(K204)</f>
        <v>0</v>
      </c>
      <c r="L205" s="502">
        <f t="shared" si="602"/>
        <v>0</v>
      </c>
      <c r="M205" s="502">
        <f t="shared" si="602"/>
        <v>0</v>
      </c>
      <c r="N205" s="502">
        <f t="shared" si="602"/>
        <v>0</v>
      </c>
      <c r="O205" s="502">
        <f t="shared" si="602"/>
        <v>0</v>
      </c>
      <c r="P205" s="502">
        <f t="shared" si="602"/>
        <v>0</v>
      </c>
      <c r="Q205" s="502">
        <f t="shared" si="602"/>
        <v>0</v>
      </c>
      <c r="R205" s="502">
        <f t="shared" si="602"/>
        <v>0</v>
      </c>
      <c r="S205" s="505">
        <f t="shared" ref="S205" si="603">SUM(S204)</f>
        <v>0</v>
      </c>
      <c r="T205" s="502">
        <f>SUM(T204)</f>
        <v>0</v>
      </c>
      <c r="U205" s="506">
        <f>SUM(U204)</f>
        <v>0</v>
      </c>
      <c r="V205" s="505">
        <f>SUM(V204)</f>
        <v>0</v>
      </c>
      <c r="AA205" s="486"/>
      <c r="AB205" s="226"/>
      <c r="AD205" s="226"/>
      <c r="AE205" s="226"/>
      <c r="AS205" s="486"/>
      <c r="AT205" s="486"/>
      <c r="AU205" s="486"/>
      <c r="AV205" s="486"/>
      <c r="BE205" s="486"/>
      <c r="BF205" s="486"/>
      <c r="BG205" s="486"/>
      <c r="BH205" s="486"/>
      <c r="BL205" s="226"/>
      <c r="BM205" s="226"/>
      <c r="BN205" s="226"/>
      <c r="BO205" s="226"/>
      <c r="BX205" s="226"/>
      <c r="BY205" s="226"/>
      <c r="BZ205" s="226"/>
      <c r="CA205" s="226"/>
    </row>
    <row r="206" spans="1:79" ht="12.75" thickBot="1">
      <c r="A206" s="781">
        <f>+A204+1</f>
        <v>34</v>
      </c>
      <c r="B206" s="782" t="s">
        <v>1111</v>
      </c>
      <c r="C206" s="783">
        <f>+SUMIF('13.mell_ÖNKfeladatok2019'!$B$5:$B$159,'14.mell_Önk kiegészítés2019'!$A66,'13.mell_ÖNKfeladatok2019'!Q$5:Q$159)</f>
        <v>0</v>
      </c>
      <c r="D206" s="783">
        <f>+SUMIF('13.mell_ÖNKfeladatok2019'!$B$5:$B$159,'14.mell_Önk kiegészítés2019'!$A66,'13.mell_ÖNKfeladatok2019'!U$5:U$159)</f>
        <v>0</v>
      </c>
      <c r="E206" s="783">
        <f>+SUMIF('13.mell_ÖNKfeladatok2019'!$B$5:$B$159,'14.mell_Önk kiegészítés2019'!$A66,'13.mell_ÖNKfeladatok2019'!Y$5:Y$159)</f>
        <v>0</v>
      </c>
      <c r="F206" s="783">
        <f>+SUMIF('13.mell_ÖNKfeladatok2019'!$B$5:$B$159,'14.mell_Önk kiegészítés2019'!$A66,'13.mell_ÖNKfeladatok2019'!AC$5:AC$159)</f>
        <v>0</v>
      </c>
      <c r="G206" s="783">
        <f>+SUMIF('13.mell_ÖNKfeladatok2019'!$B$5:$B$159,'14.mell_Önk kiegészítés2019'!$A66,'13.mell_ÖNKfeladatok2019'!AK$5:AK$159)</f>
        <v>0</v>
      </c>
      <c r="H206" s="783">
        <f>+SUMIF('13.mell_ÖNKfeladatok2019'!$B$5:$B$159,'14.mell_Önk kiegészítés2019'!$A66,'13.mell_ÖNKfeladatok2019'!AO$5:AO$159)</f>
        <v>0</v>
      </c>
      <c r="I206" s="783">
        <f>+SUMIF('13.mell_ÖNKfeladatok2019'!$B$5:$B$159,'14.mell_Önk kiegészítés2019'!$A66,'13.mell_ÖNKfeladatok2019'!AS$5:AS$159)</f>
        <v>0</v>
      </c>
      <c r="J206" s="784">
        <f>SUM(C206:I206)</f>
        <v>0</v>
      </c>
      <c r="K206" s="783">
        <f>+SUMIF('13.mell_ÖNKfeladatok2019'!$B$167:$B$321,'14.mell_Önk kiegészítés2019'!$A66,'13.mell_ÖNKfeladatok2019'!Q$167:Q$321)</f>
        <v>0</v>
      </c>
      <c r="L206" s="783">
        <f>+SUMIF('13.mell_ÖNKfeladatok2019'!$B$167:$B$321,'14.mell_Önk kiegészítés2019'!$A66,'13.mell_ÖNKfeladatok2019'!U$167:U$321)</f>
        <v>0</v>
      </c>
      <c r="M206" s="783">
        <f>+SUMIF('13.mell_ÖNKfeladatok2019'!$B$167:$B$321,'14.mell_Önk kiegészítés2019'!$A66,'13.mell_ÖNKfeladatok2019'!Y$167:Y$321)</f>
        <v>0</v>
      </c>
      <c r="N206" s="783">
        <f>+SUMIF('13.mell_ÖNKfeladatok2019'!$B$167:$B$321,'14.mell_Önk kiegészítés2019'!$A66,'13.mell_ÖNKfeladatok2019'!AC$167:AC$321)</f>
        <v>0</v>
      </c>
      <c r="O206" s="783">
        <f>+SUMIF('13.mell_ÖNKfeladatok2019'!$B$167:$B$321,'14.mell_Önk kiegészítés2019'!$A66,'13.mell_ÖNKfeladatok2019'!AG$167:AG$321)</f>
        <v>0</v>
      </c>
      <c r="P206" s="783">
        <f>+SUMIF('13.mell_ÖNKfeladatok2019'!$B$167:$B$321,'14.mell_Önk kiegészítés2019'!$A66,'13.mell_ÖNKfeladatok2019'!AO$167:AO$321)</f>
        <v>0</v>
      </c>
      <c r="Q206" s="783">
        <f>+SUMIF('13.mell_ÖNKfeladatok2019'!$B$167:$B$321,'14.mell_Önk kiegészítés2019'!$A66,'13.mell_ÖNKfeladatok2019'!AS$167:AS$321)</f>
        <v>0</v>
      </c>
      <c r="R206" s="783">
        <f>+SUMIF('13.mell_ÖNKfeladatok2019'!$B$167:$B$321,'14.mell_Önk kiegészítés2019'!$A66,'13.mell_ÖNKfeladatok2019'!AW$167:AW$321)</f>
        <v>0</v>
      </c>
      <c r="S206" s="784">
        <f>SUM(K206:R206)</f>
        <v>0</v>
      </c>
      <c r="T206" s="502">
        <f>S206-J206</f>
        <v>0</v>
      </c>
      <c r="U206" s="1085">
        <f>+ROUND(SUMIF('10.mell_támogatások2019'!$B$6:$B$137,'14.mell_Önk kiegészítés2019'!$A66,'10.mell_támogatások2019'!F$6:F$137)/1000,0)</f>
        <v>0</v>
      </c>
      <c r="V206" s="505">
        <f>+T206-U206</f>
        <v>0</v>
      </c>
      <c r="AA206" s="486"/>
      <c r="AB206" s="226"/>
      <c r="AD206" s="226"/>
      <c r="AE206" s="226"/>
      <c r="AS206" s="486"/>
      <c r="AT206" s="486"/>
      <c r="AU206" s="486"/>
      <c r="AV206" s="486"/>
      <c r="BE206" s="486"/>
      <c r="BF206" s="486"/>
      <c r="BG206" s="486"/>
      <c r="BH206" s="486"/>
      <c r="BL206" s="226"/>
      <c r="BM206" s="226"/>
      <c r="BN206" s="226"/>
      <c r="BO206" s="226"/>
      <c r="BX206" s="226"/>
      <c r="BY206" s="226"/>
      <c r="BZ206" s="226"/>
      <c r="CA206" s="226"/>
    </row>
    <row r="207" spans="1:79" ht="24.75" thickBot="1">
      <c r="A207" s="458" t="s">
        <v>1159</v>
      </c>
      <c r="B207" s="459" t="s">
        <v>1111</v>
      </c>
      <c r="C207" s="502">
        <f t="shared" ref="C207:I207" si="604">SUM(C206)</f>
        <v>0</v>
      </c>
      <c r="D207" s="502">
        <f t="shared" si="604"/>
        <v>0</v>
      </c>
      <c r="E207" s="502">
        <f t="shared" si="604"/>
        <v>0</v>
      </c>
      <c r="F207" s="502">
        <f t="shared" si="604"/>
        <v>0</v>
      </c>
      <c r="G207" s="502">
        <f t="shared" si="604"/>
        <v>0</v>
      </c>
      <c r="H207" s="502">
        <f t="shared" si="604"/>
        <v>0</v>
      </c>
      <c r="I207" s="502">
        <f t="shared" si="604"/>
        <v>0</v>
      </c>
      <c r="J207" s="505">
        <f t="shared" ref="J207" si="605">SUM(J206)</f>
        <v>0</v>
      </c>
      <c r="K207" s="502">
        <f t="shared" ref="K207:R207" si="606">SUM(K206)</f>
        <v>0</v>
      </c>
      <c r="L207" s="502">
        <f t="shared" si="606"/>
        <v>0</v>
      </c>
      <c r="M207" s="502">
        <f t="shared" si="606"/>
        <v>0</v>
      </c>
      <c r="N207" s="502">
        <f t="shared" si="606"/>
        <v>0</v>
      </c>
      <c r="O207" s="502">
        <f t="shared" si="606"/>
        <v>0</v>
      </c>
      <c r="P207" s="502">
        <f t="shared" si="606"/>
        <v>0</v>
      </c>
      <c r="Q207" s="502">
        <f t="shared" si="606"/>
        <v>0</v>
      </c>
      <c r="R207" s="502">
        <f t="shared" si="606"/>
        <v>0</v>
      </c>
      <c r="S207" s="505">
        <f t="shared" ref="S207" si="607">SUM(S206)</f>
        <v>0</v>
      </c>
      <c r="T207" s="502">
        <f>SUM(T206)</f>
        <v>0</v>
      </c>
      <c r="U207" s="506">
        <f>SUM(U206)</f>
        <v>0</v>
      </c>
      <c r="V207" s="505">
        <f>SUM(V206)</f>
        <v>0</v>
      </c>
      <c r="AA207" s="486"/>
      <c r="AB207" s="226"/>
      <c r="AD207" s="226"/>
      <c r="AE207" s="226"/>
      <c r="AS207" s="486"/>
      <c r="AT207" s="486"/>
      <c r="AU207" s="486"/>
      <c r="AV207" s="486"/>
      <c r="BE207" s="486"/>
      <c r="BF207" s="486"/>
      <c r="BG207" s="486"/>
      <c r="BH207" s="486"/>
      <c r="BL207" s="226"/>
      <c r="BM207" s="226"/>
      <c r="BN207" s="226"/>
      <c r="BO207" s="226"/>
      <c r="BX207" s="226"/>
      <c r="BY207" s="226"/>
      <c r="BZ207" s="226"/>
      <c r="CA207" s="226"/>
    </row>
    <row r="208" spans="1:79" ht="12.75" thickBot="1">
      <c r="A208" s="452" t="s">
        <v>42</v>
      </c>
      <c r="B208" s="462" t="s">
        <v>1112</v>
      </c>
      <c r="C208" s="511">
        <f t="shared" ref="C208:I208" si="608">+C203+C205+C207</f>
        <v>0</v>
      </c>
      <c r="D208" s="511">
        <f t="shared" si="608"/>
        <v>0</v>
      </c>
      <c r="E208" s="511">
        <f t="shared" si="608"/>
        <v>0</v>
      </c>
      <c r="F208" s="511">
        <f t="shared" si="608"/>
        <v>0</v>
      </c>
      <c r="G208" s="511">
        <f t="shared" si="608"/>
        <v>0</v>
      </c>
      <c r="H208" s="511">
        <f t="shared" si="608"/>
        <v>0</v>
      </c>
      <c r="I208" s="511">
        <f t="shared" si="608"/>
        <v>0</v>
      </c>
      <c r="J208" s="514">
        <f t="shared" ref="J208" si="609">+J203+J205+J207</f>
        <v>0</v>
      </c>
      <c r="K208" s="511">
        <f t="shared" ref="K208:R208" si="610">+K203+K205+K207</f>
        <v>58588</v>
      </c>
      <c r="L208" s="511">
        <f t="shared" si="610"/>
        <v>10844</v>
      </c>
      <c r="M208" s="511">
        <f t="shared" si="610"/>
        <v>6448</v>
      </c>
      <c r="N208" s="511">
        <f t="shared" si="610"/>
        <v>0</v>
      </c>
      <c r="O208" s="511">
        <f t="shared" si="610"/>
        <v>147</v>
      </c>
      <c r="P208" s="511">
        <f t="shared" si="610"/>
        <v>37646</v>
      </c>
      <c r="Q208" s="511">
        <f t="shared" si="610"/>
        <v>4509</v>
      </c>
      <c r="R208" s="511">
        <f t="shared" si="610"/>
        <v>0</v>
      </c>
      <c r="S208" s="514">
        <f t="shared" ref="S208" si="611">+S203+S205+S207</f>
        <v>118182</v>
      </c>
      <c r="T208" s="511">
        <f>+T203+T205+T207</f>
        <v>118182</v>
      </c>
      <c r="U208" s="513">
        <f>+U203+U205+U207</f>
        <v>88874</v>
      </c>
      <c r="V208" s="514">
        <f>+V203+V205+V207</f>
        <v>29308</v>
      </c>
      <c r="AA208" s="486"/>
      <c r="AB208" s="226"/>
      <c r="AD208" s="226"/>
      <c r="AE208" s="226"/>
      <c r="AS208" s="486"/>
      <c r="AT208" s="486"/>
      <c r="AU208" s="486"/>
      <c r="AV208" s="486"/>
      <c r="BE208" s="486"/>
      <c r="BF208" s="486"/>
      <c r="BG208" s="486"/>
      <c r="BH208" s="486"/>
      <c r="BL208" s="226"/>
      <c r="BM208" s="226"/>
      <c r="BN208" s="226"/>
      <c r="BO208" s="226"/>
      <c r="BX208" s="226"/>
      <c r="BY208" s="226"/>
      <c r="BZ208" s="226"/>
      <c r="CA208" s="226"/>
    </row>
    <row r="209" spans="1:79" ht="12.75" thickBot="1">
      <c r="A209" s="473"/>
      <c r="B209" s="526"/>
      <c r="C209" s="515"/>
      <c r="D209" s="516"/>
      <c r="E209" s="516"/>
      <c r="F209" s="516"/>
      <c r="G209" s="516"/>
      <c r="H209" s="516"/>
      <c r="I209" s="517"/>
      <c r="J209" s="518"/>
      <c r="K209" s="527"/>
      <c r="L209" s="527"/>
      <c r="M209" s="527"/>
      <c r="N209" s="527"/>
      <c r="O209" s="527"/>
      <c r="P209" s="527"/>
      <c r="Q209" s="527"/>
      <c r="R209" s="527"/>
      <c r="S209" s="525"/>
      <c r="T209" s="522"/>
      <c r="U209" s="1087"/>
      <c r="V209" s="525"/>
      <c r="AA209" s="486"/>
      <c r="AB209" s="226"/>
      <c r="AD209" s="226"/>
      <c r="AE209" s="226"/>
      <c r="AS209" s="486"/>
      <c r="AT209" s="486"/>
      <c r="AU209" s="486"/>
      <c r="AV209" s="486"/>
      <c r="BE209" s="486"/>
      <c r="BF209" s="486"/>
      <c r="BG209" s="486"/>
      <c r="BH209" s="486"/>
      <c r="BL209" s="226"/>
      <c r="BM209" s="226"/>
      <c r="BN209" s="226"/>
      <c r="BO209" s="226"/>
      <c r="BX209" s="226"/>
      <c r="BY209" s="226"/>
      <c r="BZ209" s="226"/>
      <c r="CA209" s="226"/>
    </row>
    <row r="210" spans="1:79" ht="12.75" thickBot="1">
      <c r="A210" s="509" t="s">
        <v>41</v>
      </c>
      <c r="B210" s="510" t="s">
        <v>776</v>
      </c>
      <c r="C210" s="511">
        <f t="shared" ref="C210:I210" si="612">+C160+C172+C182+C192+C200+C208</f>
        <v>1466167</v>
      </c>
      <c r="D210" s="511">
        <f t="shared" si="612"/>
        <v>394432</v>
      </c>
      <c r="E210" s="511">
        <f t="shared" si="612"/>
        <v>129585</v>
      </c>
      <c r="F210" s="511">
        <f t="shared" si="612"/>
        <v>47805</v>
      </c>
      <c r="G210" s="511">
        <f t="shared" si="612"/>
        <v>1215708</v>
      </c>
      <c r="H210" s="511">
        <f t="shared" si="612"/>
        <v>4022</v>
      </c>
      <c r="I210" s="511">
        <f t="shared" si="612"/>
        <v>838</v>
      </c>
      <c r="J210" s="514">
        <f t="shared" ref="J210" si="613">+J160+J172+J182+J192+J200+J208</f>
        <v>3258557</v>
      </c>
      <c r="K210" s="528">
        <f t="shared" ref="K210:R210" si="614">+K160+K172+K182+K192+K200+K208</f>
        <v>915906</v>
      </c>
      <c r="L210" s="528">
        <f t="shared" si="614"/>
        <v>169543</v>
      </c>
      <c r="M210" s="528">
        <f t="shared" si="614"/>
        <v>745686</v>
      </c>
      <c r="N210" s="528">
        <f t="shared" si="614"/>
        <v>43161</v>
      </c>
      <c r="O210" s="528">
        <f t="shared" si="614"/>
        <v>89359</v>
      </c>
      <c r="P210" s="528">
        <f t="shared" si="614"/>
        <v>816299</v>
      </c>
      <c r="Q210" s="528">
        <f t="shared" si="614"/>
        <v>252513</v>
      </c>
      <c r="R210" s="528">
        <f t="shared" si="614"/>
        <v>18</v>
      </c>
      <c r="S210" s="529">
        <f t="shared" ref="S210" si="615">+S160+S172+S182+S192+S200+S208</f>
        <v>3032485</v>
      </c>
      <c r="T210" s="528">
        <f>+T160+T172+T182+T192+T200+T208</f>
        <v>-226072</v>
      </c>
      <c r="U210" s="1088">
        <f>+U160+U172+U182+U192+U200+U208</f>
        <v>3138867</v>
      </c>
      <c r="V210" s="529">
        <f>+V160+V172+V182+V192+V200+V208</f>
        <v>-3364939</v>
      </c>
      <c r="AA210" s="486"/>
      <c r="AB210" s="226"/>
      <c r="AD210" s="226"/>
      <c r="AE210" s="226"/>
      <c r="AS210" s="486"/>
      <c r="AT210" s="486"/>
      <c r="AU210" s="486"/>
      <c r="AV210" s="486"/>
      <c r="BE210" s="486"/>
      <c r="BF210" s="486"/>
      <c r="BG210" s="486"/>
      <c r="BH210" s="486"/>
      <c r="BL210" s="226"/>
      <c r="BM210" s="226"/>
      <c r="BN210" s="226"/>
      <c r="BO210" s="226"/>
      <c r="BX210" s="226"/>
      <c r="BY210" s="226"/>
      <c r="BZ210" s="226"/>
      <c r="CA210" s="226"/>
    </row>
    <row r="211" spans="1:79" ht="12.75" thickBot="1">
      <c r="A211" s="538" t="s">
        <v>37</v>
      </c>
      <c r="B211" s="530" t="s">
        <v>777</v>
      </c>
      <c r="C211" s="531"/>
      <c r="D211" s="531"/>
      <c r="E211" s="531"/>
      <c r="F211" s="531">
        <f>+'1.mell._Össz_Mérleg2019'!$E$71</f>
        <v>704310</v>
      </c>
      <c r="G211" s="531"/>
      <c r="H211" s="531"/>
      <c r="I211" s="531">
        <f>+'1.mell._Össz_Mérleg2019'!$E$86</f>
        <v>2492294</v>
      </c>
      <c r="J211" s="537">
        <f>SUM(C211:I211)</f>
        <v>3196604</v>
      </c>
      <c r="K211" s="531"/>
      <c r="L211" s="531"/>
      <c r="M211" s="531"/>
      <c r="N211" s="531"/>
      <c r="O211" s="531">
        <f>+'1.mell._Össz_Mérleg2019'!$E$177</f>
        <v>91948</v>
      </c>
      <c r="P211" s="531"/>
      <c r="Q211" s="531"/>
      <c r="R211" s="531">
        <f>+'1.mell._Össz_Mérleg2019'!$E$192</f>
        <v>0</v>
      </c>
      <c r="S211" s="537">
        <f>SUM(K211:R211)</f>
        <v>91948</v>
      </c>
      <c r="T211" s="531">
        <f>S211-J211</f>
        <v>-3104656</v>
      </c>
      <c r="U211" s="1089">
        <v>-3138867</v>
      </c>
      <c r="V211" s="532">
        <f>+T211-U211</f>
        <v>34211</v>
      </c>
      <c r="AA211" s="486"/>
      <c r="AB211" s="226">
        <v>-3138867</v>
      </c>
      <c r="AD211" s="226"/>
      <c r="AE211" s="226"/>
      <c r="AS211" s="486"/>
      <c r="AT211" s="486"/>
      <c r="AU211" s="486"/>
      <c r="AV211" s="486"/>
      <c r="BE211" s="486"/>
      <c r="BF211" s="486"/>
      <c r="BG211" s="486"/>
      <c r="BH211" s="486"/>
      <c r="BL211" s="226"/>
      <c r="BM211" s="226"/>
      <c r="BN211" s="226"/>
      <c r="BO211" s="226"/>
      <c r="BX211" s="226"/>
      <c r="BY211" s="226"/>
      <c r="BZ211" s="226"/>
      <c r="CA211" s="226"/>
    </row>
    <row r="212" spans="1:79" ht="12.75" thickBot="1">
      <c r="A212" s="509" t="s">
        <v>1163</v>
      </c>
      <c r="B212" s="510" t="s">
        <v>778</v>
      </c>
      <c r="C212" s="511">
        <f t="shared" ref="C212:R212" si="616">+C210+C211</f>
        <v>1466167</v>
      </c>
      <c r="D212" s="511">
        <f t="shared" si="616"/>
        <v>394432</v>
      </c>
      <c r="E212" s="511">
        <f t="shared" si="616"/>
        <v>129585</v>
      </c>
      <c r="F212" s="511">
        <f t="shared" si="616"/>
        <v>752115</v>
      </c>
      <c r="G212" s="511">
        <f t="shared" si="616"/>
        <v>1215708</v>
      </c>
      <c r="H212" s="511">
        <f t="shared" si="616"/>
        <v>4022</v>
      </c>
      <c r="I212" s="511">
        <f t="shared" si="616"/>
        <v>2493132</v>
      </c>
      <c r="J212" s="514">
        <f t="shared" si="616"/>
        <v>6455161</v>
      </c>
      <c r="K212" s="511">
        <f t="shared" si="616"/>
        <v>915906</v>
      </c>
      <c r="L212" s="511">
        <f t="shared" si="616"/>
        <v>169543</v>
      </c>
      <c r="M212" s="511">
        <f t="shared" si="616"/>
        <v>745686</v>
      </c>
      <c r="N212" s="511">
        <f t="shared" si="616"/>
        <v>43161</v>
      </c>
      <c r="O212" s="511">
        <f t="shared" si="616"/>
        <v>181307</v>
      </c>
      <c r="P212" s="511">
        <f t="shared" si="616"/>
        <v>816299</v>
      </c>
      <c r="Q212" s="511">
        <f t="shared" si="616"/>
        <v>252513</v>
      </c>
      <c r="R212" s="511">
        <f t="shared" si="616"/>
        <v>18</v>
      </c>
      <c r="S212" s="514">
        <f t="shared" ref="S212" si="617">+S210+S211</f>
        <v>3124433</v>
      </c>
      <c r="T212" s="511">
        <f>+T210+T211</f>
        <v>-3330728</v>
      </c>
      <c r="U212" s="513">
        <f>+U210+U211</f>
        <v>0</v>
      </c>
      <c r="V212" s="514">
        <f>+V210+V211</f>
        <v>-3330728</v>
      </c>
      <c r="AA212" s="486"/>
      <c r="AB212" s="226"/>
      <c r="AD212" s="226"/>
      <c r="AE212" s="226"/>
      <c r="AS212" s="486"/>
      <c r="AT212" s="486"/>
      <c r="AU212" s="486"/>
      <c r="AV212" s="486"/>
      <c r="BE212" s="486"/>
      <c r="BF212" s="486"/>
      <c r="BG212" s="486"/>
      <c r="BH212" s="486"/>
      <c r="BL212" s="226"/>
      <c r="BM212" s="226"/>
      <c r="BN212" s="226"/>
      <c r="BO212" s="226"/>
      <c r="BX212" s="226"/>
      <c r="BY212" s="226"/>
      <c r="BZ212" s="226"/>
      <c r="CA212" s="226"/>
    </row>
    <row r="213" spans="1:79">
      <c r="J213" s="1291"/>
    </row>
    <row r="214" spans="1:79" ht="12.75" thickBot="1">
      <c r="J214" s="1291"/>
      <c r="V214" s="203" t="s">
        <v>458</v>
      </c>
    </row>
    <row r="215" spans="1:79" ht="72.75" thickBot="1">
      <c r="A215" s="786" t="s">
        <v>17</v>
      </c>
      <c r="B215" s="1703" t="s">
        <v>2645</v>
      </c>
      <c r="C215" s="788" t="s">
        <v>769</v>
      </c>
      <c r="D215" s="320" t="s">
        <v>526</v>
      </c>
      <c r="E215" s="320" t="s">
        <v>770</v>
      </c>
      <c r="F215" s="320" t="s">
        <v>1164</v>
      </c>
      <c r="G215" s="320" t="s">
        <v>533</v>
      </c>
      <c r="H215" s="320" t="s">
        <v>534</v>
      </c>
      <c r="I215" s="319" t="s">
        <v>1165</v>
      </c>
      <c r="J215" s="260" t="s">
        <v>525</v>
      </c>
      <c r="K215" s="788" t="s">
        <v>46</v>
      </c>
      <c r="L215" s="320" t="s">
        <v>447</v>
      </c>
      <c r="M215" s="320" t="s">
        <v>448</v>
      </c>
      <c r="N215" s="320" t="s">
        <v>772</v>
      </c>
      <c r="O215" s="320" t="s">
        <v>1166</v>
      </c>
      <c r="P215" s="320" t="s">
        <v>451</v>
      </c>
      <c r="Q215" s="320" t="s">
        <v>452</v>
      </c>
      <c r="R215" s="255" t="s">
        <v>1167</v>
      </c>
      <c r="S215" s="260" t="s">
        <v>528</v>
      </c>
      <c r="T215" s="789" t="s">
        <v>762</v>
      </c>
      <c r="U215" s="1078" t="s">
        <v>1255</v>
      </c>
      <c r="V215" s="488" t="s">
        <v>763</v>
      </c>
      <c r="AA215" s="489" t="s">
        <v>1077</v>
      </c>
      <c r="AB215" s="489" t="s">
        <v>1052</v>
      </c>
      <c r="AC215" s="489" t="s">
        <v>1253</v>
      </c>
      <c r="AD215" s="489" t="s">
        <v>1172</v>
      </c>
      <c r="AE215" s="489" t="s">
        <v>1171</v>
      </c>
      <c r="AF215" s="489" t="s">
        <v>1170</v>
      </c>
      <c r="AG215" s="489" t="s">
        <v>1174</v>
      </c>
      <c r="AH215" s="489" t="s">
        <v>1175</v>
      </c>
      <c r="AI215" s="489" t="s">
        <v>1254</v>
      </c>
    </row>
    <row r="216" spans="1:79">
      <c r="A216" s="734">
        <v>1</v>
      </c>
      <c r="B216" s="668" t="s">
        <v>415</v>
      </c>
      <c r="C216" s="1704" t="str">
        <f>IF(ISERROR(C146/C76),"-",C146/C76)</f>
        <v>-</v>
      </c>
      <c r="D216" s="1705" t="str">
        <f t="shared" ref="D216:V216" si="618">IF(ISERROR(D146/D76),"-",D146/D76)</f>
        <v>-</v>
      </c>
      <c r="E216" s="1705" t="str">
        <f t="shared" si="618"/>
        <v>-</v>
      </c>
      <c r="F216" s="1705" t="str">
        <f t="shared" si="618"/>
        <v>-</v>
      </c>
      <c r="G216" s="1705" t="str">
        <f t="shared" si="618"/>
        <v>-</v>
      </c>
      <c r="H216" s="1705" t="str">
        <f t="shared" si="618"/>
        <v>-</v>
      </c>
      <c r="I216" s="1705" t="str">
        <f t="shared" si="618"/>
        <v>-</v>
      </c>
      <c r="J216" s="1706" t="str">
        <f t="shared" si="618"/>
        <v>-</v>
      </c>
      <c r="K216" s="1705">
        <f t="shared" si="618"/>
        <v>0.92528660590708489</v>
      </c>
      <c r="L216" s="1705">
        <f t="shared" si="618"/>
        <v>1</v>
      </c>
      <c r="M216" s="1705" t="str">
        <f t="shared" si="618"/>
        <v>-</v>
      </c>
      <c r="N216" s="1705" t="str">
        <f t="shared" si="618"/>
        <v>-</v>
      </c>
      <c r="O216" s="1705" t="str">
        <f t="shared" si="618"/>
        <v>-</v>
      </c>
      <c r="P216" s="1705" t="str">
        <f t="shared" si="618"/>
        <v>-</v>
      </c>
      <c r="Q216" s="1705" t="str">
        <f t="shared" si="618"/>
        <v>-</v>
      </c>
      <c r="R216" s="1705" t="str">
        <f t="shared" si="618"/>
        <v>-</v>
      </c>
      <c r="S216" s="1706">
        <f t="shared" si="618"/>
        <v>0.93565581144296506</v>
      </c>
      <c r="T216" s="1707">
        <f t="shared" si="618"/>
        <v>0.93565581144296506</v>
      </c>
      <c r="U216" s="1705">
        <f t="shared" si="618"/>
        <v>1</v>
      </c>
      <c r="V216" s="1706">
        <f t="shared" si="618"/>
        <v>0.93268710443968661</v>
      </c>
      <c r="AB216" s="226"/>
      <c r="AC216" s="226"/>
      <c r="AD216" s="226"/>
      <c r="AE216" s="226"/>
    </row>
    <row r="217" spans="1:79">
      <c r="A217" s="735">
        <f>+A216+1</f>
        <v>2</v>
      </c>
      <c r="B217" s="490" t="s">
        <v>658</v>
      </c>
      <c r="C217" s="1705" t="str">
        <f t="shared" ref="C217:V217" si="619">IF(ISERROR(C147/C77),"-",C147/C77)</f>
        <v>-</v>
      </c>
      <c r="D217" s="1705" t="str">
        <f t="shared" si="619"/>
        <v>-</v>
      </c>
      <c r="E217" s="1705">
        <f t="shared" si="619"/>
        <v>1</v>
      </c>
      <c r="F217" s="1705" t="str">
        <f t="shared" si="619"/>
        <v>-</v>
      </c>
      <c r="G217" s="1705" t="str">
        <f t="shared" si="619"/>
        <v>-</v>
      </c>
      <c r="H217" s="1705" t="str">
        <f t="shared" si="619"/>
        <v>-</v>
      </c>
      <c r="I217" s="1705" t="str">
        <f t="shared" si="619"/>
        <v>-</v>
      </c>
      <c r="J217" s="1708">
        <f t="shared" si="619"/>
        <v>1</v>
      </c>
      <c r="K217" s="1705" t="str">
        <f t="shared" si="619"/>
        <v>-</v>
      </c>
      <c r="L217" s="1705" t="str">
        <f t="shared" si="619"/>
        <v>-</v>
      </c>
      <c r="M217" s="1705">
        <f t="shared" si="619"/>
        <v>1</v>
      </c>
      <c r="N217" s="1705" t="str">
        <f t="shared" si="619"/>
        <v>-</v>
      </c>
      <c r="O217" s="1705" t="str">
        <f t="shared" si="619"/>
        <v>-</v>
      </c>
      <c r="P217" s="1705" t="str">
        <f t="shared" si="619"/>
        <v>-</v>
      </c>
      <c r="Q217" s="1705">
        <f t="shared" si="619"/>
        <v>1</v>
      </c>
      <c r="R217" s="1705" t="str">
        <f t="shared" si="619"/>
        <v>-</v>
      </c>
      <c r="S217" s="1708">
        <f t="shared" si="619"/>
        <v>1</v>
      </c>
      <c r="T217" s="1709">
        <f t="shared" si="619"/>
        <v>1</v>
      </c>
      <c r="U217" s="1710">
        <f t="shared" si="619"/>
        <v>1</v>
      </c>
      <c r="V217" s="1708">
        <f t="shared" si="619"/>
        <v>1</v>
      </c>
      <c r="AB217" s="226"/>
      <c r="AC217" s="226"/>
      <c r="AD217" s="226"/>
      <c r="AE217" s="226"/>
    </row>
    <row r="218" spans="1:79">
      <c r="A218" s="735">
        <f>+A217+1</f>
        <v>3</v>
      </c>
      <c r="B218" s="494" t="s">
        <v>653</v>
      </c>
      <c r="C218" s="1711" t="str">
        <f t="shared" ref="C218:V218" si="620">IF(ISERROR(C148/C78),"-",C148/C78)</f>
        <v>-</v>
      </c>
      <c r="D218" s="1711" t="str">
        <f t="shared" si="620"/>
        <v>-</v>
      </c>
      <c r="E218" s="1711" t="str">
        <f t="shared" si="620"/>
        <v>-</v>
      </c>
      <c r="F218" s="1711" t="str">
        <f t="shared" si="620"/>
        <v>-</v>
      </c>
      <c r="G218" s="1705" t="str">
        <f t="shared" si="620"/>
        <v>-</v>
      </c>
      <c r="H218" s="1711" t="str">
        <f t="shared" si="620"/>
        <v>-</v>
      </c>
      <c r="I218" s="1711" t="str">
        <f t="shared" si="620"/>
        <v>-</v>
      </c>
      <c r="J218" s="1712" t="str">
        <f t="shared" si="620"/>
        <v>-</v>
      </c>
      <c r="K218" s="1711" t="str">
        <f t="shared" si="620"/>
        <v>-</v>
      </c>
      <c r="L218" s="1711" t="str">
        <f t="shared" si="620"/>
        <v>-</v>
      </c>
      <c r="M218" s="1711">
        <f t="shared" si="620"/>
        <v>1</v>
      </c>
      <c r="N218" s="1711" t="str">
        <f t="shared" si="620"/>
        <v>-</v>
      </c>
      <c r="O218" s="1711" t="str">
        <f t="shared" si="620"/>
        <v>-</v>
      </c>
      <c r="P218" s="1711" t="str">
        <f t="shared" si="620"/>
        <v>-</v>
      </c>
      <c r="Q218" s="1711" t="str">
        <f t="shared" si="620"/>
        <v>-</v>
      </c>
      <c r="R218" s="1711" t="str">
        <f t="shared" si="620"/>
        <v>-</v>
      </c>
      <c r="S218" s="1712">
        <f t="shared" si="620"/>
        <v>1</v>
      </c>
      <c r="T218" s="1713">
        <f t="shared" si="620"/>
        <v>1</v>
      </c>
      <c r="U218" s="1710">
        <f t="shared" si="620"/>
        <v>1</v>
      </c>
      <c r="V218" s="1712">
        <f t="shared" si="620"/>
        <v>1</v>
      </c>
      <c r="AB218" s="226"/>
      <c r="AC218" s="226"/>
      <c r="AD218" s="226"/>
      <c r="AE218" s="226"/>
    </row>
    <row r="219" spans="1:79">
      <c r="A219" s="735">
        <f>+A218+1</f>
        <v>4</v>
      </c>
      <c r="B219" s="494" t="s">
        <v>655</v>
      </c>
      <c r="C219" s="1711" t="str">
        <f t="shared" ref="C219:V219" si="621">IF(ISERROR(C149/C79),"-",C149/C79)</f>
        <v>-</v>
      </c>
      <c r="D219" s="1711" t="str">
        <f t="shared" si="621"/>
        <v>-</v>
      </c>
      <c r="E219" s="1711">
        <f t="shared" si="621"/>
        <v>1</v>
      </c>
      <c r="F219" s="1711" t="str">
        <f t="shared" si="621"/>
        <v>-</v>
      </c>
      <c r="G219" s="1705" t="str">
        <f t="shared" si="621"/>
        <v>-</v>
      </c>
      <c r="H219" s="1711" t="str">
        <f t="shared" si="621"/>
        <v>-</v>
      </c>
      <c r="I219" s="1711" t="str">
        <f t="shared" si="621"/>
        <v>-</v>
      </c>
      <c r="J219" s="1712">
        <f t="shared" si="621"/>
        <v>1</v>
      </c>
      <c r="K219" s="1711" t="str">
        <f t="shared" si="621"/>
        <v>-</v>
      </c>
      <c r="L219" s="1711" t="str">
        <f t="shared" si="621"/>
        <v>-</v>
      </c>
      <c r="M219" s="1711">
        <f t="shared" si="621"/>
        <v>1</v>
      </c>
      <c r="N219" s="1711" t="str">
        <f t="shared" si="621"/>
        <v>-</v>
      </c>
      <c r="O219" s="1711" t="str">
        <f t="shared" si="621"/>
        <v>-</v>
      </c>
      <c r="P219" s="1711">
        <f t="shared" si="621"/>
        <v>1</v>
      </c>
      <c r="Q219" s="1711" t="str">
        <f t="shared" si="621"/>
        <v>-</v>
      </c>
      <c r="R219" s="1711" t="str">
        <f t="shared" si="621"/>
        <v>-</v>
      </c>
      <c r="S219" s="1712">
        <f t="shared" si="621"/>
        <v>1</v>
      </c>
      <c r="T219" s="1713">
        <f t="shared" si="621"/>
        <v>1</v>
      </c>
      <c r="U219" s="1710">
        <f t="shared" si="621"/>
        <v>1</v>
      </c>
      <c r="V219" s="1712">
        <f t="shared" si="621"/>
        <v>1</v>
      </c>
      <c r="AB219" s="226"/>
      <c r="AC219" s="226"/>
      <c r="AD219" s="226"/>
      <c r="AE219" s="226"/>
    </row>
    <row r="220" spans="1:79">
      <c r="A220" s="735">
        <f>+A219+1</f>
        <v>5</v>
      </c>
      <c r="B220" s="494" t="s">
        <v>652</v>
      </c>
      <c r="C220" s="1711" t="str">
        <f t="shared" ref="C220:V220" si="622">IF(ISERROR(C150/C80),"-",C150/C80)</f>
        <v>-</v>
      </c>
      <c r="D220" s="1711" t="str">
        <f t="shared" si="622"/>
        <v>-</v>
      </c>
      <c r="E220" s="1711" t="str">
        <f t="shared" si="622"/>
        <v>-</v>
      </c>
      <c r="F220" s="1711" t="str">
        <f t="shared" si="622"/>
        <v>-</v>
      </c>
      <c r="G220" s="1705" t="str">
        <f t="shared" si="622"/>
        <v>-</v>
      </c>
      <c r="H220" s="1711" t="str">
        <f t="shared" si="622"/>
        <v>-</v>
      </c>
      <c r="I220" s="1711" t="str">
        <f t="shared" si="622"/>
        <v>-</v>
      </c>
      <c r="J220" s="1712" t="str">
        <f t="shared" si="622"/>
        <v>-</v>
      </c>
      <c r="K220" s="1711" t="str">
        <f t="shared" si="622"/>
        <v>-</v>
      </c>
      <c r="L220" s="1711" t="str">
        <f t="shared" si="622"/>
        <v>-</v>
      </c>
      <c r="M220" s="1711">
        <f t="shared" si="622"/>
        <v>1</v>
      </c>
      <c r="N220" s="1711" t="str">
        <f t="shared" si="622"/>
        <v>-</v>
      </c>
      <c r="O220" s="1711" t="str">
        <f t="shared" si="622"/>
        <v>-</v>
      </c>
      <c r="P220" s="1711">
        <f t="shared" si="622"/>
        <v>1</v>
      </c>
      <c r="Q220" s="1711">
        <f t="shared" si="622"/>
        <v>1</v>
      </c>
      <c r="R220" s="1711" t="str">
        <f t="shared" si="622"/>
        <v>-</v>
      </c>
      <c r="S220" s="1712">
        <f t="shared" si="622"/>
        <v>1</v>
      </c>
      <c r="T220" s="1713">
        <f t="shared" si="622"/>
        <v>1</v>
      </c>
      <c r="U220" s="1710">
        <f t="shared" si="622"/>
        <v>1</v>
      </c>
      <c r="V220" s="1712">
        <f t="shared" si="622"/>
        <v>1</v>
      </c>
      <c r="AB220" s="226"/>
      <c r="AC220" s="226"/>
      <c r="AD220" s="226"/>
      <c r="AE220" s="226"/>
    </row>
    <row r="221" spans="1:79">
      <c r="A221" s="735">
        <f>+A220+1</f>
        <v>6</v>
      </c>
      <c r="B221" s="494" t="s">
        <v>1160</v>
      </c>
      <c r="C221" s="1711">
        <f t="shared" ref="C221:V221" si="623">IF(ISERROR(C151/C81),"-",C151/C81)</f>
        <v>1</v>
      </c>
      <c r="D221" s="1711" t="str">
        <f t="shared" si="623"/>
        <v>-</v>
      </c>
      <c r="E221" s="1711">
        <f t="shared" si="623"/>
        <v>1</v>
      </c>
      <c r="F221" s="1711" t="str">
        <f t="shared" si="623"/>
        <v>-</v>
      </c>
      <c r="G221" s="1705">
        <f t="shared" si="623"/>
        <v>1</v>
      </c>
      <c r="H221" s="1711" t="str">
        <f t="shared" si="623"/>
        <v>-</v>
      </c>
      <c r="I221" s="1711" t="str">
        <f t="shared" si="623"/>
        <v>-</v>
      </c>
      <c r="J221" s="1712">
        <f t="shared" si="623"/>
        <v>1</v>
      </c>
      <c r="K221" s="1711">
        <f t="shared" si="623"/>
        <v>1</v>
      </c>
      <c r="L221" s="1711">
        <f t="shared" si="623"/>
        <v>1</v>
      </c>
      <c r="M221" s="1711">
        <f t="shared" si="623"/>
        <v>1</v>
      </c>
      <c r="N221" s="1711">
        <f t="shared" si="623"/>
        <v>0.99314296233231325</v>
      </c>
      <c r="O221" s="1711" t="str">
        <f t="shared" si="623"/>
        <v>-</v>
      </c>
      <c r="P221" s="1711">
        <f t="shared" si="623"/>
        <v>1</v>
      </c>
      <c r="Q221" s="1711">
        <f t="shared" si="623"/>
        <v>1</v>
      </c>
      <c r="R221" s="1711" t="str">
        <f t="shared" si="623"/>
        <v>-</v>
      </c>
      <c r="S221" s="1712">
        <f t="shared" si="623"/>
        <v>0.99878059758902049</v>
      </c>
      <c r="T221" s="1713">
        <f t="shared" si="623"/>
        <v>0.99593817299566556</v>
      </c>
      <c r="U221" s="1710">
        <f t="shared" si="623"/>
        <v>1</v>
      </c>
      <c r="V221" s="1712">
        <f t="shared" si="623"/>
        <v>1.0067714960916196</v>
      </c>
      <c r="X221" s="1295" t="e">
        <f>+V221+V225+V245+V246+V272-(V245-4139)+6581-3718-('13.mell_ÖNKfeladatok2019'!J184+'13.mell_ÖNKfeladatok2019'!J185+'13.mell_ÖNKfeladatok2019'!J186+'13.mell_ÖNKfeladatok2019'!J187+'13.mell_ÖNKfeladatok2019'!J188-'13.mell_ÖNKfeladatok2019'!J22-'13.mell_ÖNKfeladatok2019'!J23-'13.mell_ÖNKfeladatok2019'!J24-'13.mell_ÖNKfeladatok2019'!J25-'13.mell_ÖNKfeladatok2019'!J26)+1</f>
        <v>#VALUE!</v>
      </c>
      <c r="Y221" s="226" t="s">
        <v>1392</v>
      </c>
      <c r="AB221" s="226"/>
      <c r="AC221" s="226"/>
      <c r="AD221" s="226"/>
      <c r="AE221" s="226"/>
      <c r="AH221" s="226">
        <f>((-((9317+1817)+(4714+919)+500))+0)+0</f>
        <v>-17267</v>
      </c>
    </row>
    <row r="222" spans="1:79">
      <c r="A222" s="735">
        <f>A221+1</f>
        <v>7</v>
      </c>
      <c r="B222" s="494" t="s">
        <v>781</v>
      </c>
      <c r="C222" s="1711">
        <f t="shared" ref="C222:V222" si="624">IF(ISERROR(C152/C82),"-",C152/C82)</f>
        <v>1</v>
      </c>
      <c r="D222" s="1711" t="str">
        <f t="shared" si="624"/>
        <v>-</v>
      </c>
      <c r="E222" s="1711" t="str">
        <f t="shared" si="624"/>
        <v>-</v>
      </c>
      <c r="F222" s="1711" t="str">
        <f t="shared" si="624"/>
        <v>-</v>
      </c>
      <c r="G222" s="1705">
        <f t="shared" si="624"/>
        <v>1</v>
      </c>
      <c r="H222" s="1711" t="str">
        <f t="shared" si="624"/>
        <v>-</v>
      </c>
      <c r="I222" s="1711" t="str">
        <f t="shared" si="624"/>
        <v>-</v>
      </c>
      <c r="J222" s="1712">
        <f t="shared" si="624"/>
        <v>1</v>
      </c>
      <c r="K222" s="1711">
        <f t="shared" si="624"/>
        <v>1</v>
      </c>
      <c r="L222" s="1711">
        <f t="shared" si="624"/>
        <v>1</v>
      </c>
      <c r="M222" s="1711">
        <f t="shared" si="624"/>
        <v>1</v>
      </c>
      <c r="N222" s="1711" t="str">
        <f t="shared" si="624"/>
        <v>-</v>
      </c>
      <c r="O222" s="1711">
        <f t="shared" si="624"/>
        <v>1</v>
      </c>
      <c r="P222" s="1711">
        <f t="shared" si="624"/>
        <v>1</v>
      </c>
      <c r="Q222" s="1711">
        <f t="shared" si="624"/>
        <v>1</v>
      </c>
      <c r="R222" s="1711">
        <f t="shared" si="624"/>
        <v>1</v>
      </c>
      <c r="S222" s="1712">
        <f t="shared" si="624"/>
        <v>1</v>
      </c>
      <c r="T222" s="1713">
        <f t="shared" si="624"/>
        <v>1</v>
      </c>
      <c r="U222" s="1714" t="str">
        <f t="shared" si="624"/>
        <v>-</v>
      </c>
      <c r="V222" s="1712">
        <f t="shared" si="624"/>
        <v>1</v>
      </c>
      <c r="AB222" s="226"/>
      <c r="AC222" s="226"/>
      <c r="AD222" s="226"/>
      <c r="AE222" s="226"/>
    </row>
    <row r="223" spans="1:79" ht="12.75" thickBot="1">
      <c r="A223" s="735">
        <f>+A222+1</f>
        <v>8</v>
      </c>
      <c r="B223" s="498" t="s">
        <v>764</v>
      </c>
      <c r="C223" s="1711">
        <f t="shared" ref="C223:V223" si="625">IF(ISERROR(C153/C83),"-",C153/C83)</f>
        <v>1</v>
      </c>
      <c r="D223" s="1715">
        <f t="shared" si="625"/>
        <v>0.72812121570133204</v>
      </c>
      <c r="E223" s="1715">
        <f t="shared" si="625"/>
        <v>0.70641392750988052</v>
      </c>
      <c r="F223" s="1715">
        <f t="shared" si="625"/>
        <v>0.87209005327300593</v>
      </c>
      <c r="G223" s="1705">
        <f t="shared" si="625"/>
        <v>1</v>
      </c>
      <c r="H223" s="1715">
        <f t="shared" si="625"/>
        <v>0.82451824518245187</v>
      </c>
      <c r="I223" s="1715" t="str">
        <f t="shared" si="625"/>
        <v>-</v>
      </c>
      <c r="J223" s="1712">
        <f t="shared" si="625"/>
        <v>0.9090877776795997</v>
      </c>
      <c r="K223" s="1711">
        <f t="shared" si="625"/>
        <v>1</v>
      </c>
      <c r="L223" s="1711">
        <f t="shared" si="625"/>
        <v>1</v>
      </c>
      <c r="M223" s="1711">
        <f t="shared" si="625"/>
        <v>0.69752290295470998</v>
      </c>
      <c r="N223" s="1711" t="str">
        <f t="shared" si="625"/>
        <v>-</v>
      </c>
      <c r="O223" s="1711">
        <f t="shared" si="625"/>
        <v>2.3983051481965837E-2</v>
      </c>
      <c r="P223" s="1711">
        <f t="shared" si="625"/>
        <v>0.35077247388919891</v>
      </c>
      <c r="Q223" s="1711">
        <f t="shared" si="625"/>
        <v>0.1656019484343651</v>
      </c>
      <c r="R223" s="1711" t="str">
        <f t="shared" si="625"/>
        <v>-</v>
      </c>
      <c r="S223" s="1712">
        <f t="shared" si="625"/>
        <v>9.2204015060842984E-2</v>
      </c>
      <c r="T223" s="1713">
        <f t="shared" si="625"/>
        <v>-0.79986240267606079</v>
      </c>
      <c r="U223" s="1714">
        <f t="shared" si="625"/>
        <v>1</v>
      </c>
      <c r="V223" s="1712">
        <f t="shared" si="625"/>
        <v>8.2436220348056555</v>
      </c>
      <c r="AB223" s="226">
        <v>3084209</v>
      </c>
      <c r="AC223" s="226">
        <f>0+(-25496-900)</f>
        <v>-26396</v>
      </c>
      <c r="AD223" s="226"/>
      <c r="AE223" s="226">
        <f>(-472+(-26-42-85))+(-38-62-127)</f>
        <v>-852</v>
      </c>
    </row>
    <row r="224" spans="1:79" ht="12.75" thickBot="1">
      <c r="A224" s="500" t="s">
        <v>596</v>
      </c>
      <c r="B224" s="501" t="s">
        <v>411</v>
      </c>
      <c r="C224" s="1716">
        <f t="shared" ref="C224:V224" si="626">IF(ISERROR(C154/C84),"-",C154/C84)</f>
        <v>1</v>
      </c>
      <c r="D224" s="1717">
        <f t="shared" si="626"/>
        <v>0.72812121570133204</v>
      </c>
      <c r="E224" s="1717">
        <f t="shared" si="626"/>
        <v>0.73312549485352341</v>
      </c>
      <c r="F224" s="1717">
        <f t="shared" si="626"/>
        <v>0.87209005327300593</v>
      </c>
      <c r="G224" s="1717">
        <f t="shared" si="626"/>
        <v>1</v>
      </c>
      <c r="H224" s="1717">
        <f t="shared" si="626"/>
        <v>0.82451824518245187</v>
      </c>
      <c r="I224" s="1607" t="str">
        <f t="shared" si="626"/>
        <v>-</v>
      </c>
      <c r="J224" s="1718">
        <f t="shared" si="626"/>
        <v>0.94598575434777132</v>
      </c>
      <c r="K224" s="1716">
        <f t="shared" si="626"/>
        <v>0.99065185427217772</v>
      </c>
      <c r="L224" s="1716">
        <f t="shared" si="626"/>
        <v>1</v>
      </c>
      <c r="M224" s="1716">
        <f t="shared" si="626"/>
        <v>0.88195237113301628</v>
      </c>
      <c r="N224" s="1716">
        <f t="shared" si="626"/>
        <v>0.99314296233231325</v>
      </c>
      <c r="O224" s="1716">
        <f t="shared" si="626"/>
        <v>2.6503746998853682E-2</v>
      </c>
      <c r="P224" s="1716">
        <f t="shared" si="626"/>
        <v>0.86905790445355913</v>
      </c>
      <c r="Q224" s="1716">
        <f t="shared" si="626"/>
        <v>0.59732796389114351</v>
      </c>
      <c r="R224" s="1716">
        <f t="shared" si="626"/>
        <v>1</v>
      </c>
      <c r="S224" s="1718">
        <f t="shared" si="626"/>
        <v>0.36827556944077566</v>
      </c>
      <c r="T224" s="1716">
        <f t="shared" si="626"/>
        <v>-0.53852009070835294</v>
      </c>
      <c r="U224" s="1719">
        <f t="shared" si="626"/>
        <v>1</v>
      </c>
      <c r="V224" s="1718">
        <f t="shared" si="626"/>
        <v>11.328364039816854</v>
      </c>
      <c r="AB224" s="226"/>
      <c r="AC224" s="226"/>
      <c r="AD224" s="226"/>
      <c r="AE224" s="226"/>
    </row>
    <row r="225" spans="1:34" ht="12.75">
      <c r="A225" s="735">
        <f>+A223+1</f>
        <v>9</v>
      </c>
      <c r="B225" s="498" t="s">
        <v>779</v>
      </c>
      <c r="C225" s="1715">
        <f t="shared" ref="C225:V225" si="627">IF(ISERROR(C155/C85),"-",C155/C85)</f>
        <v>1</v>
      </c>
      <c r="D225" s="1715" t="str">
        <f t="shared" si="627"/>
        <v>-</v>
      </c>
      <c r="E225" s="1715" t="str">
        <f t="shared" si="627"/>
        <v>-</v>
      </c>
      <c r="F225" s="1715" t="str">
        <f t="shared" si="627"/>
        <v>-</v>
      </c>
      <c r="G225" s="1715" t="str">
        <f t="shared" si="627"/>
        <v>-</v>
      </c>
      <c r="H225" s="1715" t="str">
        <f t="shared" si="627"/>
        <v>-</v>
      </c>
      <c r="I225" s="1715" t="str">
        <f t="shared" si="627"/>
        <v>-</v>
      </c>
      <c r="J225" s="1720">
        <f t="shared" si="627"/>
        <v>1</v>
      </c>
      <c r="K225" s="1711" t="str">
        <f t="shared" si="627"/>
        <v>-</v>
      </c>
      <c r="L225" s="1711" t="str">
        <f t="shared" si="627"/>
        <v>-</v>
      </c>
      <c r="M225" s="1711">
        <f t="shared" si="627"/>
        <v>1</v>
      </c>
      <c r="N225" s="1711" t="str">
        <f t="shared" si="627"/>
        <v>-</v>
      </c>
      <c r="O225" s="1711">
        <f t="shared" si="627"/>
        <v>1</v>
      </c>
      <c r="P225" s="1711" t="str">
        <f t="shared" si="627"/>
        <v>-</v>
      </c>
      <c r="Q225" s="1711" t="str">
        <f t="shared" si="627"/>
        <v>-</v>
      </c>
      <c r="R225" s="1711" t="str">
        <f t="shared" si="627"/>
        <v>-</v>
      </c>
      <c r="S225" s="1712">
        <f t="shared" si="627"/>
        <v>1</v>
      </c>
      <c r="T225" s="1713">
        <f t="shared" si="627"/>
        <v>1</v>
      </c>
      <c r="U225" s="1721" t="str">
        <f t="shared" si="627"/>
        <v>-</v>
      </c>
      <c r="V225" s="1712">
        <f t="shared" si="627"/>
        <v>1</v>
      </c>
      <c r="AB225" s="226"/>
      <c r="AC225" s="226"/>
      <c r="AD225" s="226"/>
      <c r="AE225" s="226"/>
    </row>
    <row r="226" spans="1:34" ht="12.75" thickBot="1">
      <c r="A226" s="735">
        <f>+A225+1</f>
        <v>10</v>
      </c>
      <c r="B226" s="498" t="s">
        <v>765</v>
      </c>
      <c r="C226" s="1715" t="str">
        <f t="shared" ref="C226:V226" si="628">IF(ISERROR(C156/C86),"-",C156/C86)</f>
        <v>-</v>
      </c>
      <c r="D226" s="1715" t="str">
        <f t="shared" si="628"/>
        <v>-</v>
      </c>
      <c r="E226" s="1715" t="str">
        <f t="shared" si="628"/>
        <v>-</v>
      </c>
      <c r="F226" s="1715" t="str">
        <f t="shared" si="628"/>
        <v>-</v>
      </c>
      <c r="G226" s="1715" t="str">
        <f t="shared" si="628"/>
        <v>-</v>
      </c>
      <c r="H226" s="1715" t="str">
        <f t="shared" si="628"/>
        <v>-</v>
      </c>
      <c r="I226" s="1715">
        <f t="shared" si="628"/>
        <v>0.12789987789987789</v>
      </c>
      <c r="J226" s="1720">
        <f t="shared" si="628"/>
        <v>0.12789987789987789</v>
      </c>
      <c r="K226" s="1711" t="str">
        <f t="shared" si="628"/>
        <v>-</v>
      </c>
      <c r="L226" s="1711" t="str">
        <f t="shared" si="628"/>
        <v>-</v>
      </c>
      <c r="M226" s="1711" t="str">
        <f t="shared" si="628"/>
        <v>-</v>
      </c>
      <c r="N226" s="1711" t="str">
        <f t="shared" si="628"/>
        <v>-</v>
      </c>
      <c r="O226" s="1711">
        <f t="shared" si="628"/>
        <v>1</v>
      </c>
      <c r="P226" s="1711">
        <f t="shared" si="628"/>
        <v>1</v>
      </c>
      <c r="Q226" s="1711" t="str">
        <f t="shared" si="628"/>
        <v>-</v>
      </c>
      <c r="R226" s="1711" t="str">
        <f t="shared" si="628"/>
        <v>-</v>
      </c>
      <c r="S226" s="1712">
        <f t="shared" si="628"/>
        <v>1</v>
      </c>
      <c r="T226" s="1713">
        <f t="shared" si="628"/>
        <v>-5.3348115299334813</v>
      </c>
      <c r="U226" s="1714" t="str">
        <f t="shared" si="628"/>
        <v>-</v>
      </c>
      <c r="V226" s="1712">
        <f t="shared" si="628"/>
        <v>-5.3348115299334813</v>
      </c>
      <c r="AB226" s="226"/>
      <c r="AC226" s="226"/>
      <c r="AD226" s="226"/>
      <c r="AE226" s="226"/>
    </row>
    <row r="227" spans="1:34" ht="12.75" thickBot="1">
      <c r="A227" s="500" t="s">
        <v>597</v>
      </c>
      <c r="B227" s="501" t="s">
        <v>412</v>
      </c>
      <c r="C227" s="1716">
        <f t="shared" ref="C227:V227" si="629">IF(ISERROR(C157/C87),"-",C157/C87)</f>
        <v>1</v>
      </c>
      <c r="D227" s="1717" t="str">
        <f t="shared" si="629"/>
        <v>-</v>
      </c>
      <c r="E227" s="1717" t="str">
        <f t="shared" si="629"/>
        <v>-</v>
      </c>
      <c r="F227" s="1717" t="str">
        <f t="shared" si="629"/>
        <v>-</v>
      </c>
      <c r="G227" s="1717" t="str">
        <f t="shared" si="629"/>
        <v>-</v>
      </c>
      <c r="H227" s="1717" t="str">
        <f t="shared" si="629"/>
        <v>-</v>
      </c>
      <c r="I227" s="1719">
        <f t="shared" si="629"/>
        <v>0.12789987789987789</v>
      </c>
      <c r="J227" s="1718">
        <f t="shared" si="629"/>
        <v>0.14101022248947684</v>
      </c>
      <c r="K227" s="1716" t="str">
        <f t="shared" si="629"/>
        <v>-</v>
      </c>
      <c r="L227" s="1716" t="str">
        <f t="shared" si="629"/>
        <v>-</v>
      </c>
      <c r="M227" s="1716">
        <f t="shared" si="629"/>
        <v>1</v>
      </c>
      <c r="N227" s="1716" t="str">
        <f t="shared" si="629"/>
        <v>-</v>
      </c>
      <c r="O227" s="1716">
        <f t="shared" si="629"/>
        <v>1</v>
      </c>
      <c r="P227" s="1716">
        <f t="shared" si="629"/>
        <v>1</v>
      </c>
      <c r="Q227" s="1716" t="str">
        <f t="shared" si="629"/>
        <v>-</v>
      </c>
      <c r="R227" s="1716" t="str">
        <f t="shared" si="629"/>
        <v>-</v>
      </c>
      <c r="S227" s="1718">
        <f t="shared" si="629"/>
        <v>1</v>
      </c>
      <c r="T227" s="1716">
        <f t="shared" si="629"/>
        <v>2.2272336769759451</v>
      </c>
      <c r="U227" s="1719" t="str">
        <f t="shared" si="629"/>
        <v>-</v>
      </c>
      <c r="V227" s="1718">
        <f t="shared" si="629"/>
        <v>2.2272336769759451</v>
      </c>
      <c r="AB227" s="226"/>
      <c r="AC227" s="226"/>
      <c r="AD227" s="226"/>
      <c r="AE227" s="226"/>
    </row>
    <row r="228" spans="1:34" ht="12.75" thickBot="1">
      <c r="A228" s="735">
        <f>+A226+1</f>
        <v>11</v>
      </c>
      <c r="B228" s="507" t="s">
        <v>413</v>
      </c>
      <c r="C228" s="1722" t="str">
        <f t="shared" ref="C228:V228" si="630">IF(ISERROR(C158/C88),"-",C158/C88)</f>
        <v>-</v>
      </c>
      <c r="D228" s="1722" t="str">
        <f t="shared" si="630"/>
        <v>-</v>
      </c>
      <c r="E228" s="1722" t="str">
        <f t="shared" si="630"/>
        <v>-</v>
      </c>
      <c r="F228" s="1722" t="str">
        <f t="shared" si="630"/>
        <v>-</v>
      </c>
      <c r="G228" s="1722" t="str">
        <f t="shared" si="630"/>
        <v>-</v>
      </c>
      <c r="H228" s="1722" t="str">
        <f t="shared" si="630"/>
        <v>-</v>
      </c>
      <c r="I228" s="1722" t="str">
        <f t="shared" si="630"/>
        <v>-</v>
      </c>
      <c r="J228" s="1723" t="str">
        <f t="shared" si="630"/>
        <v>-</v>
      </c>
      <c r="K228" s="1711" t="str">
        <f t="shared" si="630"/>
        <v>-</v>
      </c>
      <c r="L228" s="1711" t="str">
        <f t="shared" si="630"/>
        <v>-</v>
      </c>
      <c r="M228" s="1711" t="str">
        <f t="shared" si="630"/>
        <v>-</v>
      </c>
      <c r="N228" s="1711" t="str">
        <f t="shared" si="630"/>
        <v>-</v>
      </c>
      <c r="O228" s="1711" t="str">
        <f t="shared" si="630"/>
        <v>-</v>
      </c>
      <c r="P228" s="1711" t="str">
        <f t="shared" si="630"/>
        <v>-</v>
      </c>
      <c r="Q228" s="1711" t="str">
        <f t="shared" si="630"/>
        <v>-</v>
      </c>
      <c r="R228" s="1711" t="str">
        <f t="shared" si="630"/>
        <v>-</v>
      </c>
      <c r="S228" s="1712" t="str">
        <f t="shared" si="630"/>
        <v>-</v>
      </c>
      <c r="T228" s="1713" t="str">
        <f t="shared" si="630"/>
        <v>-</v>
      </c>
      <c r="U228" s="1714" t="str">
        <f t="shared" si="630"/>
        <v>-</v>
      </c>
      <c r="V228" s="1712" t="str">
        <f t="shared" si="630"/>
        <v>-</v>
      </c>
      <c r="AB228" s="226"/>
      <c r="AC228" s="226"/>
      <c r="AD228" s="226"/>
      <c r="AE228" s="226"/>
    </row>
    <row r="229" spans="1:34" ht="12.75" thickBot="1">
      <c r="A229" s="500" t="s">
        <v>598</v>
      </c>
      <c r="B229" s="501" t="s">
        <v>413</v>
      </c>
      <c r="C229" s="1716" t="str">
        <f t="shared" ref="C229:V229" si="631">IF(ISERROR(C159/C89),"-",C159/C89)</f>
        <v>-</v>
      </c>
      <c r="D229" s="1717" t="str">
        <f t="shared" si="631"/>
        <v>-</v>
      </c>
      <c r="E229" s="1717" t="str">
        <f t="shared" si="631"/>
        <v>-</v>
      </c>
      <c r="F229" s="1717" t="str">
        <f t="shared" si="631"/>
        <v>-</v>
      </c>
      <c r="G229" s="1717" t="str">
        <f t="shared" si="631"/>
        <v>-</v>
      </c>
      <c r="H229" s="1717" t="str">
        <f t="shared" si="631"/>
        <v>-</v>
      </c>
      <c r="I229" s="1719" t="str">
        <f t="shared" si="631"/>
        <v>-</v>
      </c>
      <c r="J229" s="1718" t="str">
        <f t="shared" si="631"/>
        <v>-</v>
      </c>
      <c r="K229" s="1716" t="str">
        <f t="shared" si="631"/>
        <v>-</v>
      </c>
      <c r="L229" s="1716" t="str">
        <f t="shared" si="631"/>
        <v>-</v>
      </c>
      <c r="M229" s="1716" t="str">
        <f t="shared" si="631"/>
        <v>-</v>
      </c>
      <c r="N229" s="1716" t="str">
        <f t="shared" si="631"/>
        <v>-</v>
      </c>
      <c r="O229" s="1716" t="str">
        <f t="shared" si="631"/>
        <v>-</v>
      </c>
      <c r="P229" s="1716" t="str">
        <f t="shared" si="631"/>
        <v>-</v>
      </c>
      <c r="Q229" s="1716" t="str">
        <f t="shared" si="631"/>
        <v>-</v>
      </c>
      <c r="R229" s="1716" t="str">
        <f t="shared" si="631"/>
        <v>-</v>
      </c>
      <c r="S229" s="1718" t="str">
        <f t="shared" si="631"/>
        <v>-</v>
      </c>
      <c r="T229" s="1716" t="str">
        <f t="shared" si="631"/>
        <v>-</v>
      </c>
      <c r="U229" s="1719" t="str">
        <f t="shared" si="631"/>
        <v>-</v>
      </c>
      <c r="V229" s="1718" t="str">
        <f t="shared" si="631"/>
        <v>-</v>
      </c>
      <c r="AB229" s="226"/>
      <c r="AC229" s="226"/>
      <c r="AD229" s="226"/>
      <c r="AE229" s="226"/>
    </row>
    <row r="230" spans="1:34" ht="12.75" thickBot="1">
      <c r="A230" s="509" t="s">
        <v>23</v>
      </c>
      <c r="B230" s="510" t="s">
        <v>414</v>
      </c>
      <c r="C230" s="1724">
        <f t="shared" ref="C230:V230" si="632">IF(ISERROR(C160/C90),"-",C160/C90)</f>
        <v>1</v>
      </c>
      <c r="D230" s="1725">
        <f t="shared" si="632"/>
        <v>0.72812121570133204</v>
      </c>
      <c r="E230" s="1725">
        <f t="shared" si="632"/>
        <v>0.73312549485352341</v>
      </c>
      <c r="F230" s="1725">
        <f t="shared" si="632"/>
        <v>0.87209005327300593</v>
      </c>
      <c r="G230" s="1725">
        <f t="shared" si="632"/>
        <v>1</v>
      </c>
      <c r="H230" s="1725">
        <f t="shared" si="632"/>
        <v>0.82451824518245187</v>
      </c>
      <c r="I230" s="1726">
        <f t="shared" si="632"/>
        <v>0.12789987789987789</v>
      </c>
      <c r="J230" s="1727">
        <f t="shared" si="632"/>
        <v>0.94440068355787554</v>
      </c>
      <c r="K230" s="1724">
        <f t="shared" si="632"/>
        <v>0.99065185427217772</v>
      </c>
      <c r="L230" s="1724">
        <f t="shared" si="632"/>
        <v>1</v>
      </c>
      <c r="M230" s="1724">
        <f t="shared" si="632"/>
        <v>0.88297519596954621</v>
      </c>
      <c r="N230" s="1724">
        <f t="shared" si="632"/>
        <v>0.99314296233231325</v>
      </c>
      <c r="O230" s="1724">
        <f t="shared" si="632"/>
        <v>2.6859540763813524E-2</v>
      </c>
      <c r="P230" s="1724">
        <f t="shared" si="632"/>
        <v>0.86976117303591338</v>
      </c>
      <c r="Q230" s="1724">
        <f t="shared" si="632"/>
        <v>0.59732796389114351</v>
      </c>
      <c r="R230" s="1724">
        <f t="shared" si="632"/>
        <v>1</v>
      </c>
      <c r="S230" s="1727">
        <f t="shared" si="632"/>
        <v>0.36956715120977873</v>
      </c>
      <c r="T230" s="1724">
        <f t="shared" si="632"/>
        <v>-0.53253796851213786</v>
      </c>
      <c r="U230" s="1726">
        <f t="shared" si="632"/>
        <v>1</v>
      </c>
      <c r="V230" s="1727">
        <f t="shared" si="632"/>
        <v>11.462755582618955</v>
      </c>
      <c r="X230" s="486">
        <f>+'13.mell_ÖNKfeladatok2019'!J91-J230</f>
        <v>0</v>
      </c>
      <c r="Y230" s="486">
        <f>+'13.mell_ÖNKfeladatok2019'!J253-S230</f>
        <v>0</v>
      </c>
      <c r="AB230" s="226"/>
      <c r="AC230" s="226"/>
      <c r="AD230" s="226"/>
      <c r="AE230" s="226"/>
    </row>
    <row r="231" spans="1:34" ht="12.75" thickBot="1">
      <c r="A231" s="520"/>
      <c r="B231" s="521"/>
      <c r="C231" s="1728"/>
      <c r="D231" s="1728"/>
      <c r="E231" s="1728"/>
      <c r="F231" s="1728"/>
      <c r="G231" s="1728"/>
      <c r="H231" s="1728"/>
      <c r="I231" s="1729"/>
      <c r="J231" s="1730"/>
      <c r="K231" s="1728"/>
      <c r="L231" s="1728"/>
      <c r="M231" s="1728"/>
      <c r="N231" s="1728"/>
      <c r="O231" s="1728"/>
      <c r="P231" s="1728"/>
      <c r="Q231" s="1728"/>
      <c r="R231" s="1728"/>
      <c r="S231" s="1730"/>
      <c r="T231" s="1728"/>
      <c r="U231" s="1731"/>
      <c r="V231" s="1730"/>
      <c r="X231" s="486"/>
      <c r="Y231" s="486"/>
      <c r="AB231" s="226"/>
      <c r="AC231" s="226"/>
      <c r="AD231" s="226"/>
      <c r="AE231" s="226"/>
    </row>
    <row r="232" spans="1:34">
      <c r="A232" s="770">
        <f>+A228+1</f>
        <v>12</v>
      </c>
      <c r="B232" s="771" t="s">
        <v>780</v>
      </c>
      <c r="C232" s="1722">
        <f t="shared" ref="C232:V232" si="633">IF(ISERROR(C162/C92),"-",C162/C92)</f>
        <v>1</v>
      </c>
      <c r="D232" s="1722">
        <f t="shared" si="633"/>
        <v>0</v>
      </c>
      <c r="E232" s="1722">
        <f t="shared" si="633"/>
        <v>0.66268537074148293</v>
      </c>
      <c r="F232" s="1722" t="str">
        <f t="shared" si="633"/>
        <v>-</v>
      </c>
      <c r="G232" s="1722" t="str">
        <f t="shared" si="633"/>
        <v>-</v>
      </c>
      <c r="H232" s="1722" t="str">
        <f t="shared" si="633"/>
        <v>-</v>
      </c>
      <c r="I232" s="1722" t="str">
        <f t="shared" si="633"/>
        <v>-</v>
      </c>
      <c r="J232" s="1708">
        <f t="shared" si="633"/>
        <v>0.71751942137690861</v>
      </c>
      <c r="K232" s="1705">
        <f t="shared" si="633"/>
        <v>0.99985628398284987</v>
      </c>
      <c r="L232" s="1705">
        <f t="shared" si="633"/>
        <v>1</v>
      </c>
      <c r="M232" s="1705">
        <f t="shared" si="633"/>
        <v>0.71861766251429626</v>
      </c>
      <c r="N232" s="1705" t="str">
        <f t="shared" si="633"/>
        <v>-</v>
      </c>
      <c r="O232" s="1705" t="str">
        <f t="shared" si="633"/>
        <v>-</v>
      </c>
      <c r="P232" s="1705">
        <f t="shared" si="633"/>
        <v>1</v>
      </c>
      <c r="Q232" s="1705" t="str">
        <f t="shared" si="633"/>
        <v>-</v>
      </c>
      <c r="R232" s="1705" t="str">
        <f t="shared" si="633"/>
        <v>-</v>
      </c>
      <c r="S232" s="1708">
        <f t="shared" si="633"/>
        <v>0.96109664247017357</v>
      </c>
      <c r="T232" s="1709">
        <f t="shared" si="633"/>
        <v>0.9776533515420508</v>
      </c>
      <c r="U232" s="1710">
        <f t="shared" si="633"/>
        <v>1</v>
      </c>
      <c r="V232" s="1708">
        <f t="shared" si="633"/>
        <v>0.88168233309231137</v>
      </c>
      <c r="AB232" s="226"/>
      <c r="AC232" s="226">
        <f>0+(25496+900)</f>
        <v>26396</v>
      </c>
      <c r="AD232" s="226"/>
      <c r="AE232" s="226">
        <f>((0+(95+19))+(22+4))+(33+5)</f>
        <v>178</v>
      </c>
      <c r="AH232" s="226">
        <f>((17267+1490)+0)+0</f>
        <v>18757</v>
      </c>
    </row>
    <row r="233" spans="1:34">
      <c r="A233" s="735">
        <f>+A232+1</f>
        <v>13</v>
      </c>
      <c r="B233" s="494" t="s">
        <v>781</v>
      </c>
      <c r="C233" s="1715">
        <f t="shared" ref="C233:V233" si="634">IF(ISERROR(C163/C93),"-",C163/C93)</f>
        <v>1</v>
      </c>
      <c r="D233" s="1715" t="str">
        <f t="shared" si="634"/>
        <v>-</v>
      </c>
      <c r="E233" s="1715" t="str">
        <f t="shared" si="634"/>
        <v>-</v>
      </c>
      <c r="F233" s="1715" t="str">
        <f t="shared" si="634"/>
        <v>-</v>
      </c>
      <c r="G233" s="1715" t="str">
        <f t="shared" si="634"/>
        <v>-</v>
      </c>
      <c r="H233" s="1715" t="str">
        <f t="shared" si="634"/>
        <v>-</v>
      </c>
      <c r="I233" s="1715" t="str">
        <f t="shared" si="634"/>
        <v>-</v>
      </c>
      <c r="J233" s="1712">
        <f t="shared" si="634"/>
        <v>1</v>
      </c>
      <c r="K233" s="1711">
        <f t="shared" si="634"/>
        <v>1</v>
      </c>
      <c r="L233" s="1711">
        <f t="shared" si="634"/>
        <v>1</v>
      </c>
      <c r="M233" s="1711">
        <f t="shared" si="634"/>
        <v>1</v>
      </c>
      <c r="N233" s="1711" t="str">
        <f t="shared" si="634"/>
        <v>-</v>
      </c>
      <c r="O233" s="1711" t="str">
        <f t="shared" si="634"/>
        <v>-</v>
      </c>
      <c r="P233" s="1711" t="str">
        <f t="shared" si="634"/>
        <v>-</v>
      </c>
      <c r="Q233" s="1711" t="str">
        <f t="shared" si="634"/>
        <v>-</v>
      </c>
      <c r="R233" s="1711" t="str">
        <f t="shared" si="634"/>
        <v>-</v>
      </c>
      <c r="S233" s="1712">
        <f t="shared" si="634"/>
        <v>1</v>
      </c>
      <c r="T233" s="1713">
        <f t="shared" si="634"/>
        <v>1</v>
      </c>
      <c r="U233" s="1714" t="str">
        <f t="shared" si="634"/>
        <v>-</v>
      </c>
      <c r="V233" s="1712">
        <f t="shared" si="634"/>
        <v>1</v>
      </c>
      <c r="AB233" s="226"/>
      <c r="AC233" s="226"/>
      <c r="AD233" s="226"/>
      <c r="AE233" s="226"/>
    </row>
    <row r="234" spans="1:34" ht="12.75" thickBot="1">
      <c r="A234" s="735">
        <f>+A233+1</f>
        <v>14</v>
      </c>
      <c r="B234" s="498" t="s">
        <v>766</v>
      </c>
      <c r="C234" s="1715" t="str">
        <f t="shared" ref="C234:V234" si="635">IF(ISERROR(C164/C94),"-",C164/C94)</f>
        <v>-</v>
      </c>
      <c r="D234" s="1715" t="str">
        <f t="shared" si="635"/>
        <v>-</v>
      </c>
      <c r="E234" s="1715">
        <f t="shared" si="635"/>
        <v>1</v>
      </c>
      <c r="F234" s="1715" t="str">
        <f t="shared" si="635"/>
        <v>-</v>
      </c>
      <c r="G234" s="1715" t="str">
        <f t="shared" si="635"/>
        <v>-</v>
      </c>
      <c r="H234" s="1715" t="str">
        <f t="shared" si="635"/>
        <v>-</v>
      </c>
      <c r="I234" s="1715" t="str">
        <f t="shared" si="635"/>
        <v>-</v>
      </c>
      <c r="J234" s="1712">
        <f t="shared" si="635"/>
        <v>1</v>
      </c>
      <c r="K234" s="1711">
        <f t="shared" si="635"/>
        <v>1</v>
      </c>
      <c r="L234" s="1711">
        <f t="shared" si="635"/>
        <v>1</v>
      </c>
      <c r="M234" s="1711">
        <f t="shared" si="635"/>
        <v>1</v>
      </c>
      <c r="N234" s="1711" t="str">
        <f t="shared" si="635"/>
        <v>-</v>
      </c>
      <c r="O234" s="1711">
        <f t="shared" si="635"/>
        <v>1</v>
      </c>
      <c r="P234" s="1711">
        <f t="shared" si="635"/>
        <v>1</v>
      </c>
      <c r="Q234" s="1711" t="str">
        <f t="shared" si="635"/>
        <v>-</v>
      </c>
      <c r="R234" s="1711" t="str">
        <f t="shared" si="635"/>
        <v>-</v>
      </c>
      <c r="S234" s="1712">
        <f t="shared" si="635"/>
        <v>1</v>
      </c>
      <c r="T234" s="1713">
        <f t="shared" si="635"/>
        <v>1</v>
      </c>
      <c r="U234" s="1714">
        <f t="shared" si="635"/>
        <v>1</v>
      </c>
      <c r="V234" s="1712">
        <f t="shared" si="635"/>
        <v>1</v>
      </c>
      <c r="AB234" s="226">
        <v>53636</v>
      </c>
      <c r="AC234" s="226"/>
      <c r="AD234" s="226"/>
      <c r="AE234" s="226"/>
    </row>
    <row r="235" spans="1:34" ht="12.75" thickBot="1">
      <c r="A235" s="500" t="s">
        <v>599</v>
      </c>
      <c r="B235" s="501" t="s">
        <v>873</v>
      </c>
      <c r="C235" s="1716">
        <f t="shared" ref="C235:V235" si="636">IF(ISERROR(C165/C95),"-",C165/C95)</f>
        <v>1</v>
      </c>
      <c r="D235" s="1717">
        <f t="shared" si="636"/>
        <v>0</v>
      </c>
      <c r="E235" s="1717">
        <f t="shared" si="636"/>
        <v>0.77359302700957711</v>
      </c>
      <c r="F235" s="1717" t="str">
        <f t="shared" si="636"/>
        <v>-</v>
      </c>
      <c r="G235" s="1717" t="str">
        <f t="shared" si="636"/>
        <v>-</v>
      </c>
      <c r="H235" s="1717" t="str">
        <f t="shared" si="636"/>
        <v>-</v>
      </c>
      <c r="I235" s="1607" t="str">
        <f t="shared" si="636"/>
        <v>-</v>
      </c>
      <c r="J235" s="1718">
        <f t="shared" si="636"/>
        <v>0.8237800802139037</v>
      </c>
      <c r="K235" s="1716">
        <f t="shared" si="636"/>
        <v>0.99991394302310987</v>
      </c>
      <c r="L235" s="1716">
        <f t="shared" si="636"/>
        <v>1</v>
      </c>
      <c r="M235" s="1716">
        <f t="shared" si="636"/>
        <v>0.8180091565205222</v>
      </c>
      <c r="N235" s="1716" t="str">
        <f t="shared" si="636"/>
        <v>-</v>
      </c>
      <c r="O235" s="1716">
        <f t="shared" si="636"/>
        <v>1</v>
      </c>
      <c r="P235" s="1716">
        <f t="shared" si="636"/>
        <v>1</v>
      </c>
      <c r="Q235" s="1716" t="str">
        <f t="shared" si="636"/>
        <v>-</v>
      </c>
      <c r="R235" s="1716" t="str">
        <f t="shared" si="636"/>
        <v>-</v>
      </c>
      <c r="S235" s="1718">
        <f t="shared" si="636"/>
        <v>0.97663930544997557</v>
      </c>
      <c r="T235" s="1716">
        <f t="shared" si="636"/>
        <v>0.98661533469842921</v>
      </c>
      <c r="U235" s="1719">
        <f t="shared" si="636"/>
        <v>1</v>
      </c>
      <c r="V235" s="1718">
        <f t="shared" si="636"/>
        <v>0.96362140771590754</v>
      </c>
      <c r="X235" s="486"/>
      <c r="Y235" s="486"/>
      <c r="AB235" s="226"/>
      <c r="AC235" s="226"/>
      <c r="AD235" s="226"/>
      <c r="AE235" s="226"/>
    </row>
    <row r="236" spans="1:34">
      <c r="A236" s="735">
        <f>+A234+1</f>
        <v>15</v>
      </c>
      <c r="B236" s="519" t="s">
        <v>417</v>
      </c>
      <c r="C236" s="1705" t="str">
        <f t="shared" ref="C236:V236" si="637">IF(ISERROR(C166/C96),"-",C166/C96)</f>
        <v>-</v>
      </c>
      <c r="D236" s="1705" t="str">
        <f t="shared" si="637"/>
        <v>-</v>
      </c>
      <c r="E236" s="1705">
        <f t="shared" si="637"/>
        <v>1</v>
      </c>
      <c r="F236" s="1705" t="str">
        <f t="shared" si="637"/>
        <v>-</v>
      </c>
      <c r="G236" s="1705" t="str">
        <f t="shared" si="637"/>
        <v>-</v>
      </c>
      <c r="H236" s="1705" t="str">
        <f t="shared" si="637"/>
        <v>-</v>
      </c>
      <c r="I236" s="1705" t="str">
        <f t="shared" si="637"/>
        <v>-</v>
      </c>
      <c r="J236" s="1712">
        <f t="shared" si="637"/>
        <v>1</v>
      </c>
      <c r="K236" s="1711">
        <f t="shared" si="637"/>
        <v>1</v>
      </c>
      <c r="L236" s="1711">
        <f t="shared" si="637"/>
        <v>1</v>
      </c>
      <c r="M236" s="1711">
        <f t="shared" si="637"/>
        <v>1</v>
      </c>
      <c r="N236" s="1711" t="str">
        <f t="shared" si="637"/>
        <v>-</v>
      </c>
      <c r="O236" s="1711" t="str">
        <f t="shared" si="637"/>
        <v>-</v>
      </c>
      <c r="P236" s="1711">
        <f t="shared" si="637"/>
        <v>1</v>
      </c>
      <c r="Q236" s="1711" t="str">
        <f t="shared" si="637"/>
        <v>-</v>
      </c>
      <c r="R236" s="1711" t="str">
        <f t="shared" si="637"/>
        <v>-</v>
      </c>
      <c r="S236" s="1712">
        <f t="shared" si="637"/>
        <v>1</v>
      </c>
      <c r="T236" s="1713">
        <f t="shared" si="637"/>
        <v>1</v>
      </c>
      <c r="U236" s="1714" t="str">
        <f t="shared" si="637"/>
        <v>-</v>
      </c>
      <c r="V236" s="1712">
        <f t="shared" si="637"/>
        <v>1</v>
      </c>
      <c r="AB236" s="226"/>
      <c r="AC236" s="226"/>
      <c r="AD236" s="226"/>
      <c r="AE236" s="226"/>
    </row>
    <row r="237" spans="1:34">
      <c r="A237" s="735">
        <f>+A236+1</f>
        <v>16</v>
      </c>
      <c r="B237" s="498" t="s">
        <v>656</v>
      </c>
      <c r="C237" s="1715" t="str">
        <f t="shared" ref="C237:V237" si="638">IF(ISERROR(C167/C97),"-",C167/C97)</f>
        <v>-</v>
      </c>
      <c r="D237" s="1715" t="str">
        <f t="shared" si="638"/>
        <v>-</v>
      </c>
      <c r="E237" s="1715" t="str">
        <f t="shared" si="638"/>
        <v>-</v>
      </c>
      <c r="F237" s="1715" t="str">
        <f t="shared" si="638"/>
        <v>-</v>
      </c>
      <c r="G237" s="1715" t="str">
        <f t="shared" si="638"/>
        <v>-</v>
      </c>
      <c r="H237" s="1715" t="str">
        <f t="shared" si="638"/>
        <v>-</v>
      </c>
      <c r="I237" s="1715" t="str">
        <f t="shared" si="638"/>
        <v>-</v>
      </c>
      <c r="J237" s="1720" t="str">
        <f t="shared" si="638"/>
        <v>-</v>
      </c>
      <c r="K237" s="1711" t="str">
        <f t="shared" si="638"/>
        <v>-</v>
      </c>
      <c r="L237" s="1711" t="str">
        <f t="shared" si="638"/>
        <v>-</v>
      </c>
      <c r="M237" s="1711" t="str">
        <f t="shared" si="638"/>
        <v>-</v>
      </c>
      <c r="N237" s="1711" t="str">
        <f t="shared" si="638"/>
        <v>-</v>
      </c>
      <c r="O237" s="1711" t="str">
        <f t="shared" si="638"/>
        <v>-</v>
      </c>
      <c r="P237" s="1711" t="str">
        <f t="shared" si="638"/>
        <v>-</v>
      </c>
      <c r="Q237" s="1711" t="str">
        <f t="shared" si="638"/>
        <v>-</v>
      </c>
      <c r="R237" s="1711" t="str">
        <f t="shared" si="638"/>
        <v>-</v>
      </c>
      <c r="S237" s="1712" t="str">
        <f t="shared" si="638"/>
        <v>-</v>
      </c>
      <c r="T237" s="1713" t="str">
        <f t="shared" si="638"/>
        <v>-</v>
      </c>
      <c r="U237" s="1714" t="str">
        <f t="shared" si="638"/>
        <v>-</v>
      </c>
      <c r="V237" s="1712" t="str">
        <f t="shared" si="638"/>
        <v>-</v>
      </c>
      <c r="AB237" s="226"/>
      <c r="AC237" s="226"/>
      <c r="AD237" s="226"/>
      <c r="AE237" s="226"/>
    </row>
    <row r="238" spans="1:34" ht="12.75" thickBot="1">
      <c r="A238" s="735">
        <f>+A237+1</f>
        <v>17</v>
      </c>
      <c r="B238" s="498" t="s">
        <v>898</v>
      </c>
      <c r="C238" s="1715" t="str">
        <f t="shared" ref="C238:V238" si="639">IF(ISERROR(C168/C98),"-",C168/C98)</f>
        <v>-</v>
      </c>
      <c r="D238" s="1715" t="str">
        <f t="shared" si="639"/>
        <v>-</v>
      </c>
      <c r="E238" s="1715" t="str">
        <f t="shared" si="639"/>
        <v>-</v>
      </c>
      <c r="F238" s="1715" t="str">
        <f t="shared" si="639"/>
        <v>-</v>
      </c>
      <c r="G238" s="1715" t="str">
        <f t="shared" si="639"/>
        <v>-</v>
      </c>
      <c r="H238" s="1715" t="str">
        <f t="shared" si="639"/>
        <v>-</v>
      </c>
      <c r="I238" s="1715" t="str">
        <f t="shared" si="639"/>
        <v>-</v>
      </c>
      <c r="J238" s="1720" t="str">
        <f t="shared" si="639"/>
        <v>-</v>
      </c>
      <c r="K238" s="1711" t="str">
        <f t="shared" si="639"/>
        <v>-</v>
      </c>
      <c r="L238" s="1711" t="str">
        <f t="shared" si="639"/>
        <v>-</v>
      </c>
      <c r="M238" s="1711" t="str">
        <f t="shared" si="639"/>
        <v>-</v>
      </c>
      <c r="N238" s="1711" t="str">
        <f t="shared" si="639"/>
        <v>-</v>
      </c>
      <c r="O238" s="1711" t="str">
        <f t="shared" si="639"/>
        <v>-</v>
      </c>
      <c r="P238" s="1711" t="str">
        <f t="shared" si="639"/>
        <v>-</v>
      </c>
      <c r="Q238" s="1711" t="str">
        <f t="shared" si="639"/>
        <v>-</v>
      </c>
      <c r="R238" s="1711" t="str">
        <f t="shared" si="639"/>
        <v>-</v>
      </c>
      <c r="S238" s="1712" t="str">
        <f t="shared" si="639"/>
        <v>-</v>
      </c>
      <c r="T238" s="1713" t="str">
        <f t="shared" si="639"/>
        <v>-</v>
      </c>
      <c r="U238" s="1714" t="str">
        <f t="shared" si="639"/>
        <v>-</v>
      </c>
      <c r="V238" s="1712" t="str">
        <f t="shared" si="639"/>
        <v>-</v>
      </c>
      <c r="AB238" s="226"/>
      <c r="AC238" s="226"/>
      <c r="AD238" s="226"/>
      <c r="AE238" s="226"/>
    </row>
    <row r="239" spans="1:34" ht="12.75" thickBot="1">
      <c r="A239" s="500" t="s">
        <v>641</v>
      </c>
      <c r="B239" s="501" t="s">
        <v>874</v>
      </c>
      <c r="C239" s="1716" t="str">
        <f t="shared" ref="C239:V239" si="640">IF(ISERROR(C169/C99),"-",C169/C99)</f>
        <v>-</v>
      </c>
      <c r="D239" s="1717" t="str">
        <f t="shared" si="640"/>
        <v>-</v>
      </c>
      <c r="E239" s="1717">
        <f t="shared" si="640"/>
        <v>1</v>
      </c>
      <c r="F239" s="1717" t="str">
        <f t="shared" si="640"/>
        <v>-</v>
      </c>
      <c r="G239" s="1717" t="str">
        <f t="shared" si="640"/>
        <v>-</v>
      </c>
      <c r="H239" s="1717" t="str">
        <f t="shared" si="640"/>
        <v>-</v>
      </c>
      <c r="I239" s="1719" t="str">
        <f t="shared" si="640"/>
        <v>-</v>
      </c>
      <c r="J239" s="1718">
        <f t="shared" si="640"/>
        <v>1</v>
      </c>
      <c r="K239" s="1716">
        <f t="shared" si="640"/>
        <v>1</v>
      </c>
      <c r="L239" s="1716">
        <f t="shared" si="640"/>
        <v>1</v>
      </c>
      <c r="M239" s="1716">
        <f t="shared" si="640"/>
        <v>1</v>
      </c>
      <c r="N239" s="1716" t="str">
        <f t="shared" si="640"/>
        <v>-</v>
      </c>
      <c r="O239" s="1716" t="str">
        <f t="shared" si="640"/>
        <v>-</v>
      </c>
      <c r="P239" s="1716">
        <f t="shared" si="640"/>
        <v>1</v>
      </c>
      <c r="Q239" s="1716" t="str">
        <f t="shared" si="640"/>
        <v>-</v>
      </c>
      <c r="R239" s="1716" t="str">
        <f t="shared" si="640"/>
        <v>-</v>
      </c>
      <c r="S239" s="1718">
        <f t="shared" si="640"/>
        <v>1</v>
      </c>
      <c r="T239" s="1716">
        <f t="shared" si="640"/>
        <v>1</v>
      </c>
      <c r="U239" s="1719" t="str">
        <f t="shared" si="640"/>
        <v>-</v>
      </c>
      <c r="V239" s="1718">
        <f t="shared" si="640"/>
        <v>1</v>
      </c>
      <c r="X239" s="486"/>
      <c r="Y239" s="486"/>
      <c r="AB239" s="226"/>
      <c r="AC239" s="226"/>
      <c r="AD239" s="226"/>
      <c r="AE239" s="226"/>
    </row>
    <row r="240" spans="1:34" ht="12.75" thickBot="1">
      <c r="A240" s="735">
        <f>+A238+1</f>
        <v>18</v>
      </c>
      <c r="B240" s="507" t="s">
        <v>875</v>
      </c>
      <c r="C240" s="1722">
        <f t="shared" ref="C240:V240" si="641">IF(ISERROR(C170/C100),"-",C170/C100)</f>
        <v>1</v>
      </c>
      <c r="D240" s="1722" t="str">
        <f t="shared" si="641"/>
        <v>-</v>
      </c>
      <c r="E240" s="1722" t="str">
        <f t="shared" si="641"/>
        <v>-</v>
      </c>
      <c r="F240" s="1722" t="str">
        <f t="shared" si="641"/>
        <v>-</v>
      </c>
      <c r="G240" s="1722" t="str">
        <f t="shared" si="641"/>
        <v>-</v>
      </c>
      <c r="H240" s="1722" t="str">
        <f t="shared" si="641"/>
        <v>-</v>
      </c>
      <c r="I240" s="1722" t="str">
        <f t="shared" si="641"/>
        <v>-</v>
      </c>
      <c r="J240" s="1723">
        <f t="shared" si="641"/>
        <v>1</v>
      </c>
      <c r="K240" s="1711">
        <f t="shared" si="641"/>
        <v>1</v>
      </c>
      <c r="L240" s="1711">
        <f t="shared" si="641"/>
        <v>1</v>
      </c>
      <c r="M240" s="1711">
        <f t="shared" si="641"/>
        <v>1</v>
      </c>
      <c r="N240" s="1711" t="str">
        <f t="shared" si="641"/>
        <v>-</v>
      </c>
      <c r="O240" s="1711" t="str">
        <f t="shared" si="641"/>
        <v>-</v>
      </c>
      <c r="P240" s="1711" t="str">
        <f t="shared" si="641"/>
        <v>-</v>
      </c>
      <c r="Q240" s="1711" t="str">
        <f t="shared" si="641"/>
        <v>-</v>
      </c>
      <c r="R240" s="1711" t="str">
        <f t="shared" si="641"/>
        <v>-</v>
      </c>
      <c r="S240" s="1712">
        <f t="shared" si="641"/>
        <v>1</v>
      </c>
      <c r="T240" s="1713">
        <f t="shared" si="641"/>
        <v>1</v>
      </c>
      <c r="U240" s="1714" t="str">
        <f t="shared" si="641"/>
        <v>-</v>
      </c>
      <c r="V240" s="1712">
        <f t="shared" si="641"/>
        <v>1</v>
      </c>
      <c r="AB240" s="226"/>
      <c r="AC240" s="226"/>
      <c r="AD240" s="226"/>
      <c r="AE240" s="226"/>
    </row>
    <row r="241" spans="1:34" ht="12.75" thickBot="1">
      <c r="A241" s="500" t="s">
        <v>753</v>
      </c>
      <c r="B241" s="501" t="s">
        <v>875</v>
      </c>
      <c r="C241" s="1716">
        <f t="shared" ref="C241:V241" si="642">IF(ISERROR(C171/C101),"-",C171/C101)</f>
        <v>1</v>
      </c>
      <c r="D241" s="1717" t="str">
        <f t="shared" si="642"/>
        <v>-</v>
      </c>
      <c r="E241" s="1717" t="str">
        <f t="shared" si="642"/>
        <v>-</v>
      </c>
      <c r="F241" s="1717" t="str">
        <f t="shared" si="642"/>
        <v>-</v>
      </c>
      <c r="G241" s="1717" t="str">
        <f t="shared" si="642"/>
        <v>-</v>
      </c>
      <c r="H241" s="1717" t="str">
        <f t="shared" si="642"/>
        <v>-</v>
      </c>
      <c r="I241" s="1719" t="str">
        <f t="shared" si="642"/>
        <v>-</v>
      </c>
      <c r="J241" s="1718">
        <f t="shared" si="642"/>
        <v>1</v>
      </c>
      <c r="K241" s="1716">
        <f t="shared" si="642"/>
        <v>1</v>
      </c>
      <c r="L241" s="1716">
        <f t="shared" si="642"/>
        <v>1</v>
      </c>
      <c r="M241" s="1716">
        <f t="shared" si="642"/>
        <v>1</v>
      </c>
      <c r="N241" s="1716" t="str">
        <f t="shared" si="642"/>
        <v>-</v>
      </c>
      <c r="O241" s="1716" t="str">
        <f t="shared" si="642"/>
        <v>-</v>
      </c>
      <c r="P241" s="1716" t="str">
        <f t="shared" si="642"/>
        <v>-</v>
      </c>
      <c r="Q241" s="1716" t="str">
        <f t="shared" si="642"/>
        <v>-</v>
      </c>
      <c r="R241" s="1716" t="str">
        <f t="shared" si="642"/>
        <v>-</v>
      </c>
      <c r="S241" s="1718">
        <f t="shared" si="642"/>
        <v>1</v>
      </c>
      <c r="T241" s="1716">
        <f t="shared" si="642"/>
        <v>1</v>
      </c>
      <c r="U241" s="1719" t="str">
        <f t="shared" si="642"/>
        <v>-</v>
      </c>
      <c r="V241" s="1718">
        <f t="shared" si="642"/>
        <v>1</v>
      </c>
      <c r="X241" s="486"/>
      <c r="Y241" s="486"/>
      <c r="AB241" s="226"/>
      <c r="AC241" s="226"/>
      <c r="AD241" s="226"/>
      <c r="AE241" s="226"/>
    </row>
    <row r="242" spans="1:34" ht="12.75" thickBot="1">
      <c r="A242" s="509" t="s">
        <v>22</v>
      </c>
      <c r="B242" s="510" t="s">
        <v>876</v>
      </c>
      <c r="C242" s="1724">
        <f t="shared" ref="C242:V242" si="643">IF(ISERROR(C172/C102),"-",C172/C102)</f>
        <v>1</v>
      </c>
      <c r="D242" s="1725">
        <f t="shared" si="643"/>
        <v>0</v>
      </c>
      <c r="E242" s="1725">
        <f t="shared" si="643"/>
        <v>0.90608819853597566</v>
      </c>
      <c r="F242" s="1725" t="str">
        <f t="shared" si="643"/>
        <v>-</v>
      </c>
      <c r="G242" s="1725" t="str">
        <f t="shared" si="643"/>
        <v>-</v>
      </c>
      <c r="H242" s="1725" t="str">
        <f t="shared" si="643"/>
        <v>-</v>
      </c>
      <c r="I242" s="1726" t="str">
        <f t="shared" si="643"/>
        <v>-</v>
      </c>
      <c r="J242" s="1727">
        <f t="shared" si="643"/>
        <v>0.92558221594918844</v>
      </c>
      <c r="K242" s="1724">
        <f t="shared" si="643"/>
        <v>0.99991783466966111</v>
      </c>
      <c r="L242" s="1724">
        <f t="shared" si="643"/>
        <v>1</v>
      </c>
      <c r="M242" s="1724">
        <f t="shared" si="643"/>
        <v>0.87252307132154205</v>
      </c>
      <c r="N242" s="1724" t="str">
        <f t="shared" si="643"/>
        <v>-</v>
      </c>
      <c r="O242" s="1724">
        <f t="shared" si="643"/>
        <v>1</v>
      </c>
      <c r="P242" s="1724">
        <f t="shared" si="643"/>
        <v>1</v>
      </c>
      <c r="Q242" s="1724" t="str">
        <f t="shared" si="643"/>
        <v>-</v>
      </c>
      <c r="R242" s="1724" t="str">
        <f t="shared" si="643"/>
        <v>-</v>
      </c>
      <c r="S242" s="1727">
        <f t="shared" si="643"/>
        <v>0.97866441630452827</v>
      </c>
      <c r="T242" s="1724">
        <f t="shared" si="643"/>
        <v>0.98677186657073646</v>
      </c>
      <c r="U242" s="1726">
        <f t="shared" si="643"/>
        <v>1</v>
      </c>
      <c r="V242" s="1727">
        <f t="shared" si="643"/>
        <v>0.96475495756809926</v>
      </c>
      <c r="X242" s="486">
        <f>+'13.mell_ÖNKfeladatok2019'!J111-J242</f>
        <v>0</v>
      </c>
      <c r="Y242" s="486">
        <f>+'13.mell_ÖNKfeladatok2019'!J273-S242</f>
        <v>0</v>
      </c>
      <c r="AB242" s="226"/>
      <c r="AC242" s="226"/>
      <c r="AD242" s="226"/>
      <c r="AE242" s="226"/>
    </row>
    <row r="243" spans="1:34" ht="12.75" thickBot="1">
      <c r="A243" s="520"/>
      <c r="B243" s="521"/>
      <c r="C243" s="1728"/>
      <c r="D243" s="1728"/>
      <c r="E243" s="1728"/>
      <c r="F243" s="1728"/>
      <c r="G243" s="1728"/>
      <c r="H243" s="1728"/>
      <c r="I243" s="1729"/>
      <c r="J243" s="1730"/>
      <c r="K243" s="1728"/>
      <c r="L243" s="1728"/>
      <c r="M243" s="1728"/>
      <c r="N243" s="1728"/>
      <c r="O243" s="1728"/>
      <c r="P243" s="1728"/>
      <c r="Q243" s="1728"/>
      <c r="R243" s="1728"/>
      <c r="S243" s="1730"/>
      <c r="T243" s="1728"/>
      <c r="U243" s="1731"/>
      <c r="V243" s="1730"/>
      <c r="X243" s="486"/>
      <c r="Y243" s="486"/>
      <c r="AB243" s="226"/>
      <c r="AC243" s="226"/>
      <c r="AD243" s="226"/>
      <c r="AE243" s="226"/>
    </row>
    <row r="244" spans="1:34">
      <c r="A244" s="734">
        <f>+A240+1</f>
        <v>19</v>
      </c>
      <c r="B244" s="668" t="s">
        <v>1089</v>
      </c>
      <c r="C244" s="1732" t="str">
        <f t="shared" ref="C244:V244" si="644">IF(ISERROR(C174/C104),"-",C174/C104)</f>
        <v>-</v>
      </c>
      <c r="D244" s="1732" t="str">
        <f t="shared" si="644"/>
        <v>-</v>
      </c>
      <c r="E244" s="1732">
        <f t="shared" si="644"/>
        <v>1</v>
      </c>
      <c r="F244" s="1732" t="str">
        <f t="shared" si="644"/>
        <v>-</v>
      </c>
      <c r="G244" s="1732" t="str">
        <f t="shared" si="644"/>
        <v>-</v>
      </c>
      <c r="H244" s="1732" t="str">
        <f t="shared" si="644"/>
        <v>-</v>
      </c>
      <c r="I244" s="1732" t="str">
        <f t="shared" si="644"/>
        <v>-</v>
      </c>
      <c r="J244" s="1706">
        <f t="shared" si="644"/>
        <v>1</v>
      </c>
      <c r="K244" s="1732">
        <f t="shared" si="644"/>
        <v>0.94624574183990262</v>
      </c>
      <c r="L244" s="1732">
        <f t="shared" si="644"/>
        <v>0.82065078145016657</v>
      </c>
      <c r="M244" s="1732">
        <f t="shared" si="644"/>
        <v>1</v>
      </c>
      <c r="N244" s="1732" t="str">
        <f t="shared" si="644"/>
        <v>-</v>
      </c>
      <c r="O244" s="1732">
        <f t="shared" si="644"/>
        <v>1</v>
      </c>
      <c r="P244" s="1732">
        <f t="shared" si="644"/>
        <v>1</v>
      </c>
      <c r="Q244" s="1732" t="str">
        <f t="shared" si="644"/>
        <v>-</v>
      </c>
      <c r="R244" s="1732" t="str">
        <f t="shared" si="644"/>
        <v>-</v>
      </c>
      <c r="S244" s="1706">
        <f t="shared" si="644"/>
        <v>0.92983074873909011</v>
      </c>
      <c r="T244" s="1707">
        <f t="shared" si="644"/>
        <v>0.92898504018047423</v>
      </c>
      <c r="U244" s="1733">
        <f t="shared" si="644"/>
        <v>1</v>
      </c>
      <c r="V244" s="1706">
        <f t="shared" si="644"/>
        <v>0.60680366085304782</v>
      </c>
      <c r="AB244" s="226">
        <v>206</v>
      </c>
      <c r="AC244" s="226"/>
      <c r="AD244" s="226"/>
      <c r="AE244" s="226"/>
    </row>
    <row r="245" spans="1:34">
      <c r="A245" s="735">
        <f>+A244+1</f>
        <v>20</v>
      </c>
      <c r="B245" s="494" t="s">
        <v>1168</v>
      </c>
      <c r="C245" s="1711" t="str">
        <f t="shared" ref="C245:V245" si="645">IF(ISERROR(C175/C105),"-",C175/C105)</f>
        <v>-</v>
      </c>
      <c r="D245" s="1711" t="str">
        <f t="shared" si="645"/>
        <v>-</v>
      </c>
      <c r="E245" s="1711">
        <f t="shared" si="645"/>
        <v>0.91206648011532265</v>
      </c>
      <c r="F245" s="1711" t="str">
        <f t="shared" si="645"/>
        <v>-</v>
      </c>
      <c r="G245" s="1711" t="str">
        <f t="shared" si="645"/>
        <v>-</v>
      </c>
      <c r="H245" s="1711" t="str">
        <f t="shared" si="645"/>
        <v>-</v>
      </c>
      <c r="I245" s="1711" t="str">
        <f t="shared" si="645"/>
        <v>-</v>
      </c>
      <c r="J245" s="1712">
        <f t="shared" si="645"/>
        <v>0.91206648011532265</v>
      </c>
      <c r="K245" s="1711" t="str">
        <f t="shared" si="645"/>
        <v>-</v>
      </c>
      <c r="L245" s="1711" t="str">
        <f t="shared" si="645"/>
        <v>-</v>
      </c>
      <c r="M245" s="1711">
        <f t="shared" si="645"/>
        <v>0.94280540006585445</v>
      </c>
      <c r="N245" s="1711" t="str">
        <f t="shared" si="645"/>
        <v>-</v>
      </c>
      <c r="O245" s="1711" t="str">
        <f t="shared" si="645"/>
        <v>-</v>
      </c>
      <c r="P245" s="1711">
        <f t="shared" si="645"/>
        <v>1</v>
      </c>
      <c r="Q245" s="1711" t="str">
        <f t="shared" si="645"/>
        <v>-</v>
      </c>
      <c r="R245" s="1711" t="str">
        <f t="shared" si="645"/>
        <v>-</v>
      </c>
      <c r="S245" s="1712">
        <f t="shared" si="645"/>
        <v>0.94589122173073326</v>
      </c>
      <c r="T245" s="1713">
        <f t="shared" si="645"/>
        <v>0.95061114858069173</v>
      </c>
      <c r="U245" s="1714">
        <f t="shared" si="645"/>
        <v>1</v>
      </c>
      <c r="V245" s="1712">
        <f t="shared" si="645"/>
        <v>0.76785317018909904</v>
      </c>
      <c r="AB245" s="226"/>
      <c r="AC245" s="226"/>
      <c r="AD245" s="226"/>
      <c r="AE245" s="226"/>
      <c r="AH245" s="226">
        <f>((-(1163+227+100))+0)+0</f>
        <v>-1490</v>
      </c>
    </row>
    <row r="246" spans="1:34" ht="12.75" thickBot="1">
      <c r="A246" s="770">
        <f>+A245+1</f>
        <v>21</v>
      </c>
      <c r="B246" s="507" t="s">
        <v>1161</v>
      </c>
      <c r="C246" s="1722" t="str">
        <f t="shared" ref="C246:V246" si="646">IF(ISERROR(C176/C106),"-",C176/C106)</f>
        <v>-</v>
      </c>
      <c r="D246" s="1722" t="str">
        <f t="shared" si="646"/>
        <v>-</v>
      </c>
      <c r="E246" s="1722" t="str">
        <f t="shared" si="646"/>
        <v>-</v>
      </c>
      <c r="F246" s="1722" t="str">
        <f t="shared" si="646"/>
        <v>-</v>
      </c>
      <c r="G246" s="1722" t="str">
        <f t="shared" si="646"/>
        <v>-</v>
      </c>
      <c r="H246" s="1722" t="str">
        <f t="shared" si="646"/>
        <v>-</v>
      </c>
      <c r="I246" s="1722" t="str">
        <f t="shared" si="646"/>
        <v>-</v>
      </c>
      <c r="J246" s="1723" t="str">
        <f t="shared" si="646"/>
        <v>-</v>
      </c>
      <c r="K246" s="1705">
        <f t="shared" si="646"/>
        <v>1</v>
      </c>
      <c r="L246" s="1705">
        <f t="shared" si="646"/>
        <v>1</v>
      </c>
      <c r="M246" s="1705">
        <f t="shared" si="646"/>
        <v>1</v>
      </c>
      <c r="N246" s="1705" t="str">
        <f t="shared" si="646"/>
        <v>-</v>
      </c>
      <c r="O246" s="1705" t="str">
        <f t="shared" si="646"/>
        <v>-</v>
      </c>
      <c r="P246" s="1705">
        <f t="shared" si="646"/>
        <v>1</v>
      </c>
      <c r="Q246" s="1705" t="str">
        <f t="shared" si="646"/>
        <v>-</v>
      </c>
      <c r="R246" s="1705" t="str">
        <f t="shared" si="646"/>
        <v>-</v>
      </c>
      <c r="S246" s="1708">
        <f t="shared" si="646"/>
        <v>1</v>
      </c>
      <c r="T246" s="1709">
        <f t="shared" si="646"/>
        <v>1</v>
      </c>
      <c r="U246" s="1710">
        <f t="shared" si="646"/>
        <v>1</v>
      </c>
      <c r="V246" s="1708">
        <f t="shared" si="646"/>
        <v>1</v>
      </c>
      <c r="AB246" s="226"/>
      <c r="AC246" s="226"/>
      <c r="AD246" s="226"/>
      <c r="AE246" s="226"/>
    </row>
    <row r="247" spans="1:34" ht="12.75" thickBot="1">
      <c r="A247" s="309" t="s">
        <v>754</v>
      </c>
      <c r="B247" s="450" t="s">
        <v>418</v>
      </c>
      <c r="C247" s="1716" t="str">
        <f t="shared" ref="C247:V247" si="647">IF(ISERROR(C177/C107),"-",C177/C107)</f>
        <v>-</v>
      </c>
      <c r="D247" s="1716" t="str">
        <f t="shared" si="647"/>
        <v>-</v>
      </c>
      <c r="E247" s="1716">
        <f t="shared" si="647"/>
        <v>0.93209351057560086</v>
      </c>
      <c r="F247" s="1716" t="str">
        <f t="shared" si="647"/>
        <v>-</v>
      </c>
      <c r="G247" s="1716" t="str">
        <f t="shared" si="647"/>
        <v>-</v>
      </c>
      <c r="H247" s="1716" t="str">
        <f t="shared" si="647"/>
        <v>-</v>
      </c>
      <c r="I247" s="1716" t="str">
        <f t="shared" si="647"/>
        <v>-</v>
      </c>
      <c r="J247" s="1718">
        <f t="shared" si="647"/>
        <v>0.93209351057560086</v>
      </c>
      <c r="K247" s="1716">
        <f t="shared" si="647"/>
        <v>0.95264006784113864</v>
      </c>
      <c r="L247" s="1716">
        <f t="shared" si="647"/>
        <v>0.83860955927995029</v>
      </c>
      <c r="M247" s="1716">
        <f t="shared" si="647"/>
        <v>0.95780054257602143</v>
      </c>
      <c r="N247" s="1716" t="str">
        <f t="shared" si="647"/>
        <v>-</v>
      </c>
      <c r="O247" s="1716">
        <f t="shared" si="647"/>
        <v>1</v>
      </c>
      <c r="P247" s="1716">
        <f t="shared" si="647"/>
        <v>1</v>
      </c>
      <c r="Q247" s="1716" t="str">
        <f t="shared" si="647"/>
        <v>-</v>
      </c>
      <c r="R247" s="1716" t="str">
        <f t="shared" si="647"/>
        <v>-</v>
      </c>
      <c r="S247" s="1718">
        <f t="shared" si="647"/>
        <v>0.93985018709062951</v>
      </c>
      <c r="T247" s="1716">
        <f t="shared" si="647"/>
        <v>0.94013764918871434</v>
      </c>
      <c r="U247" s="1719">
        <f t="shared" si="647"/>
        <v>1</v>
      </c>
      <c r="V247" s="1718">
        <f t="shared" si="647"/>
        <v>0.71096633584476754</v>
      </c>
      <c r="X247" s="486"/>
      <c r="Y247" s="486"/>
      <c r="AB247" s="226"/>
      <c r="AC247" s="226"/>
      <c r="AD247" s="226"/>
      <c r="AE247" s="226"/>
    </row>
    <row r="248" spans="1:34" ht="12.75" thickBot="1">
      <c r="A248" s="773">
        <f>+A246+1</f>
        <v>22</v>
      </c>
      <c r="B248" s="507" t="s">
        <v>419</v>
      </c>
      <c r="C248" s="1722" t="str">
        <f t="shared" ref="C248:V248" si="648">IF(ISERROR(C178/C108),"-",C178/C108)</f>
        <v>-</v>
      </c>
      <c r="D248" s="1722" t="str">
        <f t="shared" si="648"/>
        <v>-</v>
      </c>
      <c r="E248" s="1722" t="str">
        <f t="shared" si="648"/>
        <v>-</v>
      </c>
      <c r="F248" s="1722" t="str">
        <f t="shared" si="648"/>
        <v>-</v>
      </c>
      <c r="G248" s="1722" t="str">
        <f t="shared" si="648"/>
        <v>-</v>
      </c>
      <c r="H248" s="1722" t="str">
        <f t="shared" si="648"/>
        <v>-</v>
      </c>
      <c r="I248" s="1722" t="str">
        <f t="shared" si="648"/>
        <v>-</v>
      </c>
      <c r="J248" s="1723" t="str">
        <f t="shared" si="648"/>
        <v>-</v>
      </c>
      <c r="K248" s="1715" t="str">
        <f t="shared" si="648"/>
        <v>-</v>
      </c>
      <c r="L248" s="1715" t="str">
        <f t="shared" si="648"/>
        <v>-</v>
      </c>
      <c r="M248" s="1715" t="str">
        <f t="shared" si="648"/>
        <v>-</v>
      </c>
      <c r="N248" s="1715" t="str">
        <f t="shared" si="648"/>
        <v>-</v>
      </c>
      <c r="O248" s="1715" t="str">
        <f t="shared" si="648"/>
        <v>-</v>
      </c>
      <c r="P248" s="1715" t="str">
        <f t="shared" si="648"/>
        <v>-</v>
      </c>
      <c r="Q248" s="1715" t="str">
        <f t="shared" si="648"/>
        <v>-</v>
      </c>
      <c r="R248" s="1715" t="str">
        <f t="shared" si="648"/>
        <v>-</v>
      </c>
      <c r="S248" s="1720" t="str">
        <f t="shared" si="648"/>
        <v>-</v>
      </c>
      <c r="T248" s="1734" t="str">
        <f t="shared" si="648"/>
        <v>-</v>
      </c>
      <c r="U248" s="1735" t="str">
        <f t="shared" si="648"/>
        <v>-</v>
      </c>
      <c r="V248" s="1720" t="str">
        <f t="shared" si="648"/>
        <v>-</v>
      </c>
      <c r="AB248" s="226"/>
      <c r="AC248" s="226"/>
      <c r="AD248" s="226"/>
      <c r="AE248" s="226"/>
    </row>
    <row r="249" spans="1:34" ht="12.75" thickBot="1">
      <c r="A249" s="309" t="s">
        <v>755</v>
      </c>
      <c r="B249" s="450" t="s">
        <v>419</v>
      </c>
      <c r="C249" s="1716" t="str">
        <f t="shared" ref="C249:V249" si="649">IF(ISERROR(C179/C109),"-",C179/C109)</f>
        <v>-</v>
      </c>
      <c r="D249" s="1716" t="str">
        <f t="shared" si="649"/>
        <v>-</v>
      </c>
      <c r="E249" s="1716" t="str">
        <f t="shared" si="649"/>
        <v>-</v>
      </c>
      <c r="F249" s="1716" t="str">
        <f t="shared" si="649"/>
        <v>-</v>
      </c>
      <c r="G249" s="1716" t="str">
        <f t="shared" si="649"/>
        <v>-</v>
      </c>
      <c r="H249" s="1716" t="str">
        <f t="shared" si="649"/>
        <v>-</v>
      </c>
      <c r="I249" s="1716" t="str">
        <f t="shared" si="649"/>
        <v>-</v>
      </c>
      <c r="J249" s="1718" t="str">
        <f t="shared" si="649"/>
        <v>-</v>
      </c>
      <c r="K249" s="1716" t="str">
        <f t="shared" si="649"/>
        <v>-</v>
      </c>
      <c r="L249" s="1716" t="str">
        <f t="shared" si="649"/>
        <v>-</v>
      </c>
      <c r="M249" s="1716" t="str">
        <f t="shared" si="649"/>
        <v>-</v>
      </c>
      <c r="N249" s="1716" t="str">
        <f t="shared" si="649"/>
        <v>-</v>
      </c>
      <c r="O249" s="1716" t="str">
        <f t="shared" si="649"/>
        <v>-</v>
      </c>
      <c r="P249" s="1716" t="str">
        <f t="shared" si="649"/>
        <v>-</v>
      </c>
      <c r="Q249" s="1716" t="str">
        <f t="shared" si="649"/>
        <v>-</v>
      </c>
      <c r="R249" s="1716" t="str">
        <f t="shared" si="649"/>
        <v>-</v>
      </c>
      <c r="S249" s="1718" t="str">
        <f t="shared" si="649"/>
        <v>-</v>
      </c>
      <c r="T249" s="1716" t="str">
        <f t="shared" si="649"/>
        <v>-</v>
      </c>
      <c r="U249" s="1719" t="str">
        <f t="shared" si="649"/>
        <v>-</v>
      </c>
      <c r="V249" s="1718" t="str">
        <f t="shared" si="649"/>
        <v>-</v>
      </c>
      <c r="X249" s="486"/>
      <c r="Y249" s="486"/>
      <c r="AB249" s="226"/>
      <c r="AC249" s="226"/>
      <c r="AD249" s="226"/>
      <c r="AE249" s="226"/>
    </row>
    <row r="250" spans="1:34" ht="12.75" thickBot="1">
      <c r="A250" s="773">
        <f>+A248+1</f>
        <v>23</v>
      </c>
      <c r="B250" s="507" t="s">
        <v>773</v>
      </c>
      <c r="C250" s="1722" t="str">
        <f t="shared" ref="C250:V250" si="650">IF(ISERROR(C180/C110),"-",C180/C110)</f>
        <v>-</v>
      </c>
      <c r="D250" s="1722" t="str">
        <f t="shared" si="650"/>
        <v>-</v>
      </c>
      <c r="E250" s="1722" t="str">
        <f t="shared" si="650"/>
        <v>-</v>
      </c>
      <c r="F250" s="1722" t="str">
        <f t="shared" si="650"/>
        <v>-</v>
      </c>
      <c r="G250" s="1722" t="str">
        <f t="shared" si="650"/>
        <v>-</v>
      </c>
      <c r="H250" s="1722" t="str">
        <f t="shared" si="650"/>
        <v>-</v>
      </c>
      <c r="I250" s="1722" t="str">
        <f t="shared" si="650"/>
        <v>-</v>
      </c>
      <c r="J250" s="1723" t="str">
        <f t="shared" si="650"/>
        <v>-</v>
      </c>
      <c r="K250" s="1715" t="str">
        <f t="shared" si="650"/>
        <v>-</v>
      </c>
      <c r="L250" s="1715" t="str">
        <f t="shared" si="650"/>
        <v>-</v>
      </c>
      <c r="M250" s="1715" t="str">
        <f t="shared" si="650"/>
        <v>-</v>
      </c>
      <c r="N250" s="1715" t="str">
        <f t="shared" si="650"/>
        <v>-</v>
      </c>
      <c r="O250" s="1715" t="str">
        <f t="shared" si="650"/>
        <v>-</v>
      </c>
      <c r="P250" s="1715" t="str">
        <f t="shared" si="650"/>
        <v>-</v>
      </c>
      <c r="Q250" s="1715" t="str">
        <f t="shared" si="650"/>
        <v>-</v>
      </c>
      <c r="R250" s="1715" t="str">
        <f t="shared" si="650"/>
        <v>-</v>
      </c>
      <c r="S250" s="1720" t="str">
        <f t="shared" si="650"/>
        <v>-</v>
      </c>
      <c r="T250" s="1734" t="str">
        <f t="shared" si="650"/>
        <v>-</v>
      </c>
      <c r="U250" s="1735" t="str">
        <f t="shared" si="650"/>
        <v>-</v>
      </c>
      <c r="V250" s="1720" t="str">
        <f t="shared" si="650"/>
        <v>-</v>
      </c>
      <c r="AB250" s="226"/>
      <c r="AC250" s="226"/>
      <c r="AD250" s="226"/>
      <c r="AE250" s="226"/>
    </row>
    <row r="251" spans="1:34" ht="12.75" thickBot="1">
      <c r="A251" s="309" t="s">
        <v>756</v>
      </c>
      <c r="B251" s="450" t="s">
        <v>773</v>
      </c>
      <c r="C251" s="1716" t="str">
        <f t="shared" ref="C251:V251" si="651">IF(ISERROR(C181/C111),"-",C181/C111)</f>
        <v>-</v>
      </c>
      <c r="D251" s="1716" t="str">
        <f t="shared" si="651"/>
        <v>-</v>
      </c>
      <c r="E251" s="1716" t="str">
        <f t="shared" si="651"/>
        <v>-</v>
      </c>
      <c r="F251" s="1716" t="str">
        <f t="shared" si="651"/>
        <v>-</v>
      </c>
      <c r="G251" s="1716" t="str">
        <f t="shared" si="651"/>
        <v>-</v>
      </c>
      <c r="H251" s="1716" t="str">
        <f t="shared" si="651"/>
        <v>-</v>
      </c>
      <c r="I251" s="1716" t="str">
        <f t="shared" si="651"/>
        <v>-</v>
      </c>
      <c r="J251" s="1718" t="str">
        <f t="shared" si="651"/>
        <v>-</v>
      </c>
      <c r="K251" s="1716" t="str">
        <f t="shared" si="651"/>
        <v>-</v>
      </c>
      <c r="L251" s="1716" t="str">
        <f t="shared" si="651"/>
        <v>-</v>
      </c>
      <c r="M251" s="1716" t="str">
        <f t="shared" si="651"/>
        <v>-</v>
      </c>
      <c r="N251" s="1716" t="str">
        <f t="shared" si="651"/>
        <v>-</v>
      </c>
      <c r="O251" s="1716" t="str">
        <f t="shared" si="651"/>
        <v>-</v>
      </c>
      <c r="P251" s="1716" t="str">
        <f t="shared" si="651"/>
        <v>-</v>
      </c>
      <c r="Q251" s="1716" t="str">
        <f t="shared" si="651"/>
        <v>-</v>
      </c>
      <c r="R251" s="1716" t="str">
        <f t="shared" si="651"/>
        <v>-</v>
      </c>
      <c r="S251" s="1718" t="str">
        <f t="shared" si="651"/>
        <v>-</v>
      </c>
      <c r="T251" s="1716" t="str">
        <f t="shared" si="651"/>
        <v>-</v>
      </c>
      <c r="U251" s="1719" t="str">
        <f t="shared" si="651"/>
        <v>-</v>
      </c>
      <c r="V251" s="1718" t="str">
        <f t="shared" si="651"/>
        <v>-</v>
      </c>
      <c r="X251" s="486"/>
      <c r="Y251" s="486"/>
      <c r="AA251" s="486"/>
      <c r="AB251" s="226"/>
      <c r="AD251" s="226"/>
      <c r="AE251" s="226"/>
    </row>
    <row r="252" spans="1:34" ht="12.75" thickBot="1">
      <c r="A252" s="452" t="s">
        <v>21</v>
      </c>
      <c r="B252" s="462" t="s">
        <v>420</v>
      </c>
      <c r="C252" s="1724" t="str">
        <f t="shared" ref="C252:V252" si="652">IF(ISERROR(C182/C112),"-",C182/C112)</f>
        <v>-</v>
      </c>
      <c r="D252" s="1725" t="str">
        <f t="shared" si="652"/>
        <v>-</v>
      </c>
      <c r="E252" s="1725">
        <f t="shared" si="652"/>
        <v>0.93209351057560086</v>
      </c>
      <c r="F252" s="1725" t="str">
        <f t="shared" si="652"/>
        <v>-</v>
      </c>
      <c r="G252" s="1725" t="str">
        <f t="shared" si="652"/>
        <v>-</v>
      </c>
      <c r="H252" s="1725" t="str">
        <f t="shared" si="652"/>
        <v>-</v>
      </c>
      <c r="I252" s="1726" t="str">
        <f t="shared" si="652"/>
        <v>-</v>
      </c>
      <c r="J252" s="1727">
        <f t="shared" si="652"/>
        <v>0.93209351057560086</v>
      </c>
      <c r="K252" s="1724">
        <f t="shared" si="652"/>
        <v>0.95264006784113864</v>
      </c>
      <c r="L252" s="1724">
        <f t="shared" si="652"/>
        <v>0.83860955927995029</v>
      </c>
      <c r="M252" s="1724">
        <f t="shared" si="652"/>
        <v>0.95780054257602143</v>
      </c>
      <c r="N252" s="1724" t="str">
        <f t="shared" si="652"/>
        <v>-</v>
      </c>
      <c r="O252" s="1724">
        <f t="shared" si="652"/>
        <v>1</v>
      </c>
      <c r="P252" s="1724">
        <f t="shared" si="652"/>
        <v>1</v>
      </c>
      <c r="Q252" s="1724" t="str">
        <f t="shared" si="652"/>
        <v>-</v>
      </c>
      <c r="R252" s="1724" t="str">
        <f t="shared" si="652"/>
        <v>-</v>
      </c>
      <c r="S252" s="1727">
        <f t="shared" si="652"/>
        <v>0.93985018709062951</v>
      </c>
      <c r="T252" s="1724">
        <f t="shared" si="652"/>
        <v>0.94013764918871434</v>
      </c>
      <c r="U252" s="1726">
        <f t="shared" si="652"/>
        <v>1</v>
      </c>
      <c r="V252" s="1727">
        <f t="shared" si="652"/>
        <v>0.71096633584476754</v>
      </c>
      <c r="X252" s="486">
        <f>+'13.mell_ÖNKfeladatok2019'!J124-J252</f>
        <v>0</v>
      </c>
      <c r="Y252" s="486">
        <f>+'13.mell_ÖNKfeladatok2019'!J286-S252</f>
        <v>0</v>
      </c>
      <c r="AA252" s="486"/>
      <c r="AB252" s="226"/>
      <c r="AD252" s="226"/>
      <c r="AE252" s="226"/>
    </row>
    <row r="253" spans="1:34" ht="12.75" thickBot="1">
      <c r="A253" s="309"/>
      <c r="B253" s="450"/>
      <c r="C253" s="1728"/>
      <c r="D253" s="1736"/>
      <c r="E253" s="1736"/>
      <c r="F253" s="1736"/>
      <c r="G253" s="1736"/>
      <c r="H253" s="1736"/>
      <c r="I253" s="1731"/>
      <c r="J253" s="1730"/>
      <c r="K253" s="1728"/>
      <c r="L253" s="1728"/>
      <c r="M253" s="1728"/>
      <c r="N253" s="1728"/>
      <c r="O253" s="1728"/>
      <c r="P253" s="1728"/>
      <c r="Q253" s="1728"/>
      <c r="R253" s="1728"/>
      <c r="S253" s="1730"/>
      <c r="T253" s="1728"/>
      <c r="U253" s="1731"/>
      <c r="V253" s="1730"/>
      <c r="X253" s="159"/>
      <c r="Y253" s="159"/>
      <c r="AA253" s="486"/>
      <c r="AB253" s="226"/>
      <c r="AD253" s="226"/>
      <c r="AE253" s="226"/>
    </row>
    <row r="254" spans="1:34">
      <c r="A254" s="734">
        <f>+A250+1</f>
        <v>24</v>
      </c>
      <c r="B254" s="668" t="s">
        <v>1099</v>
      </c>
      <c r="C254" s="1732" t="str">
        <f t="shared" ref="C254:V254" si="653">IF(ISERROR(C184/C114),"-",C184/C114)</f>
        <v>-</v>
      </c>
      <c r="D254" s="1732" t="str">
        <f t="shared" si="653"/>
        <v>-</v>
      </c>
      <c r="E254" s="1732" t="str">
        <f t="shared" si="653"/>
        <v>-</v>
      </c>
      <c r="F254" s="1732" t="str">
        <f t="shared" si="653"/>
        <v>-</v>
      </c>
      <c r="G254" s="1732" t="str">
        <f t="shared" si="653"/>
        <v>-</v>
      </c>
      <c r="H254" s="1732" t="str">
        <f t="shared" si="653"/>
        <v>-</v>
      </c>
      <c r="I254" s="1732" t="str">
        <f t="shared" si="653"/>
        <v>-</v>
      </c>
      <c r="J254" s="1706" t="str">
        <f t="shared" si="653"/>
        <v>-</v>
      </c>
      <c r="K254" s="1732" t="str">
        <f t="shared" si="653"/>
        <v>-</v>
      </c>
      <c r="L254" s="1732" t="str">
        <f t="shared" si="653"/>
        <v>-</v>
      </c>
      <c r="M254" s="1732">
        <f t="shared" si="653"/>
        <v>1</v>
      </c>
      <c r="N254" s="1732" t="str">
        <f t="shared" si="653"/>
        <v>-</v>
      </c>
      <c r="O254" s="1732" t="str">
        <f t="shared" si="653"/>
        <v>-</v>
      </c>
      <c r="P254" s="1732" t="str">
        <f t="shared" si="653"/>
        <v>-</v>
      </c>
      <c r="Q254" s="1732" t="str">
        <f t="shared" si="653"/>
        <v>-</v>
      </c>
      <c r="R254" s="1732" t="str">
        <f t="shared" si="653"/>
        <v>-</v>
      </c>
      <c r="S254" s="1706">
        <f t="shared" si="653"/>
        <v>1</v>
      </c>
      <c r="T254" s="1707">
        <f t="shared" si="653"/>
        <v>1</v>
      </c>
      <c r="U254" s="1733" t="str">
        <f t="shared" si="653"/>
        <v>-</v>
      </c>
      <c r="V254" s="1706">
        <f t="shared" si="653"/>
        <v>1</v>
      </c>
      <c r="AA254" s="486"/>
      <c r="AB254" s="226"/>
      <c r="AD254" s="226"/>
      <c r="AE254" s="226"/>
    </row>
    <row r="255" spans="1:34">
      <c r="A255" s="735">
        <f>+A254+1</f>
        <v>25</v>
      </c>
      <c r="B255" s="494" t="s">
        <v>1162</v>
      </c>
      <c r="C255" s="1711" t="str">
        <f t="shared" ref="C255:V255" si="654">IF(ISERROR(C185/C115),"-",C185/C115)</f>
        <v>-</v>
      </c>
      <c r="D255" s="1711" t="str">
        <f t="shared" si="654"/>
        <v>-</v>
      </c>
      <c r="E255" s="1711">
        <f t="shared" si="654"/>
        <v>1</v>
      </c>
      <c r="F255" s="1711">
        <f t="shared" si="654"/>
        <v>1</v>
      </c>
      <c r="G255" s="1711" t="str">
        <f t="shared" si="654"/>
        <v>-</v>
      </c>
      <c r="H255" s="1711" t="str">
        <f t="shared" si="654"/>
        <v>-</v>
      </c>
      <c r="I255" s="1711" t="str">
        <f t="shared" si="654"/>
        <v>-</v>
      </c>
      <c r="J255" s="1712">
        <f t="shared" si="654"/>
        <v>1</v>
      </c>
      <c r="K255" s="1711">
        <f t="shared" si="654"/>
        <v>0.9833669118680598</v>
      </c>
      <c r="L255" s="1711">
        <f t="shared" si="654"/>
        <v>0.96958364497631511</v>
      </c>
      <c r="M255" s="1711">
        <f t="shared" si="654"/>
        <v>0.75439679111385372</v>
      </c>
      <c r="N255" s="1711" t="str">
        <f t="shared" si="654"/>
        <v>-</v>
      </c>
      <c r="O255" s="1711">
        <f t="shared" si="654"/>
        <v>1</v>
      </c>
      <c r="P255" s="1711" t="str">
        <f t="shared" si="654"/>
        <v>-</v>
      </c>
      <c r="Q255" s="1711" t="str">
        <f t="shared" si="654"/>
        <v>-</v>
      </c>
      <c r="R255" s="1711" t="str">
        <f t="shared" si="654"/>
        <v>-</v>
      </c>
      <c r="S255" s="1712">
        <f t="shared" si="654"/>
        <v>0.9363188673437981</v>
      </c>
      <c r="T255" s="1713">
        <f t="shared" si="654"/>
        <v>0.93518170426065161</v>
      </c>
      <c r="U255" s="1714">
        <f t="shared" si="654"/>
        <v>1</v>
      </c>
      <c r="V255" s="1712">
        <f t="shared" si="654"/>
        <v>0.86306175127407503</v>
      </c>
      <c r="AA255" s="486"/>
      <c r="AB255" s="226">
        <v>654</v>
      </c>
      <c r="AD255" s="226"/>
      <c r="AE255" s="226">
        <f>((0+(99+19))+(36+6))+(53+9)</f>
        <v>222</v>
      </c>
    </row>
    <row r="256" spans="1:34" ht="12.75" thickBot="1">
      <c r="A256" s="776">
        <f>+A255+1</f>
        <v>26</v>
      </c>
      <c r="B256" s="507" t="s">
        <v>1106</v>
      </c>
      <c r="C256" s="1722">
        <f t="shared" ref="C256:V256" si="655">IF(ISERROR(C186/C116),"-",C186/C116)</f>
        <v>1</v>
      </c>
      <c r="D256" s="1722" t="str">
        <f t="shared" si="655"/>
        <v>-</v>
      </c>
      <c r="E256" s="1722">
        <f t="shared" si="655"/>
        <v>1</v>
      </c>
      <c r="F256" s="1722" t="str">
        <f t="shared" si="655"/>
        <v>-</v>
      </c>
      <c r="G256" s="1722" t="str">
        <f t="shared" si="655"/>
        <v>-</v>
      </c>
      <c r="H256" s="1722" t="str">
        <f t="shared" si="655"/>
        <v>-</v>
      </c>
      <c r="I256" s="1722" t="str">
        <f t="shared" si="655"/>
        <v>-</v>
      </c>
      <c r="J256" s="1723">
        <f t="shared" si="655"/>
        <v>1</v>
      </c>
      <c r="K256" s="1722">
        <f t="shared" si="655"/>
        <v>1</v>
      </c>
      <c r="L256" s="1722">
        <f t="shared" si="655"/>
        <v>1</v>
      </c>
      <c r="M256" s="1722">
        <f t="shared" si="655"/>
        <v>1</v>
      </c>
      <c r="N256" s="1722" t="str">
        <f t="shared" si="655"/>
        <v>-</v>
      </c>
      <c r="O256" s="1722" t="str">
        <f t="shared" si="655"/>
        <v>-</v>
      </c>
      <c r="P256" s="1722" t="str">
        <f t="shared" si="655"/>
        <v>-</v>
      </c>
      <c r="Q256" s="1722" t="str">
        <f t="shared" si="655"/>
        <v>-</v>
      </c>
      <c r="R256" s="1722" t="str">
        <f t="shared" si="655"/>
        <v>-</v>
      </c>
      <c r="S256" s="1723">
        <f t="shared" si="655"/>
        <v>1</v>
      </c>
      <c r="T256" s="1737">
        <f t="shared" si="655"/>
        <v>1</v>
      </c>
      <c r="U256" s="1738">
        <f t="shared" si="655"/>
        <v>1</v>
      </c>
      <c r="V256" s="1723">
        <f t="shared" si="655"/>
        <v>1</v>
      </c>
      <c r="AA256" s="486"/>
      <c r="AB256" s="226"/>
      <c r="AD256" s="226"/>
      <c r="AE256" s="226"/>
    </row>
    <row r="257" spans="1:31" ht="12.75" thickBot="1">
      <c r="A257" s="309" t="s">
        <v>757</v>
      </c>
      <c r="B257" s="450" t="s">
        <v>421</v>
      </c>
      <c r="C257" s="1716">
        <f t="shared" ref="C257:V257" si="656">IF(ISERROR(C187/C117),"-",C187/C117)</f>
        <v>1</v>
      </c>
      <c r="D257" s="1716" t="str">
        <f t="shared" si="656"/>
        <v>-</v>
      </c>
      <c r="E257" s="1716">
        <f t="shared" si="656"/>
        <v>1</v>
      </c>
      <c r="F257" s="1716">
        <f t="shared" si="656"/>
        <v>1</v>
      </c>
      <c r="G257" s="1716" t="str">
        <f t="shared" si="656"/>
        <v>-</v>
      </c>
      <c r="H257" s="1716" t="str">
        <f t="shared" si="656"/>
        <v>-</v>
      </c>
      <c r="I257" s="1716" t="str">
        <f t="shared" si="656"/>
        <v>-</v>
      </c>
      <c r="J257" s="1718">
        <f t="shared" si="656"/>
        <v>1</v>
      </c>
      <c r="K257" s="1716">
        <f t="shared" si="656"/>
        <v>0.98613389578939148</v>
      </c>
      <c r="L257" s="1716">
        <f t="shared" si="656"/>
        <v>0.97463090039509248</v>
      </c>
      <c r="M257" s="1716">
        <f t="shared" si="656"/>
        <v>0.8492852409353403</v>
      </c>
      <c r="N257" s="1716" t="str">
        <f t="shared" si="656"/>
        <v>-</v>
      </c>
      <c r="O257" s="1716">
        <f t="shared" si="656"/>
        <v>1</v>
      </c>
      <c r="P257" s="1716" t="str">
        <f t="shared" si="656"/>
        <v>-</v>
      </c>
      <c r="Q257" s="1716" t="str">
        <f t="shared" si="656"/>
        <v>-</v>
      </c>
      <c r="R257" s="1716" t="str">
        <f t="shared" si="656"/>
        <v>-</v>
      </c>
      <c r="S257" s="1718">
        <f t="shared" si="656"/>
        <v>0.95029787642932639</v>
      </c>
      <c r="T257" s="1716">
        <f t="shared" si="656"/>
        <v>0.94846567699511808</v>
      </c>
      <c r="U257" s="1719">
        <f t="shared" si="656"/>
        <v>1</v>
      </c>
      <c r="V257" s="1718">
        <f t="shared" si="656"/>
        <v>0.87579541361507984</v>
      </c>
      <c r="X257" s="486"/>
      <c r="Y257" s="486"/>
      <c r="AA257" s="486"/>
      <c r="AB257" s="226"/>
      <c r="AD257" s="226"/>
      <c r="AE257" s="226"/>
    </row>
    <row r="258" spans="1:31" ht="12.75" thickBot="1">
      <c r="A258" s="781">
        <f>+A256+1</f>
        <v>27</v>
      </c>
      <c r="B258" s="782" t="s">
        <v>759</v>
      </c>
      <c r="C258" s="1739" t="str">
        <f t="shared" ref="C258:V258" si="657">IF(ISERROR(C188/C118),"-",C188/C118)</f>
        <v>-</v>
      </c>
      <c r="D258" s="1739" t="str">
        <f t="shared" si="657"/>
        <v>-</v>
      </c>
      <c r="E258" s="1739" t="str">
        <f t="shared" si="657"/>
        <v>-</v>
      </c>
      <c r="F258" s="1739" t="str">
        <f t="shared" si="657"/>
        <v>-</v>
      </c>
      <c r="G258" s="1739" t="str">
        <f t="shared" si="657"/>
        <v>-</v>
      </c>
      <c r="H258" s="1739" t="str">
        <f t="shared" si="657"/>
        <v>-</v>
      </c>
      <c r="I258" s="1739" t="str">
        <f t="shared" si="657"/>
        <v>-</v>
      </c>
      <c r="J258" s="1718" t="str">
        <f t="shared" si="657"/>
        <v>-</v>
      </c>
      <c r="K258" s="1739" t="str">
        <f t="shared" si="657"/>
        <v>-</v>
      </c>
      <c r="L258" s="1739" t="str">
        <f t="shared" si="657"/>
        <v>-</v>
      </c>
      <c r="M258" s="1739" t="str">
        <f t="shared" si="657"/>
        <v>-</v>
      </c>
      <c r="N258" s="1739" t="str">
        <f t="shared" si="657"/>
        <v>-</v>
      </c>
      <c r="O258" s="1739" t="str">
        <f t="shared" si="657"/>
        <v>-</v>
      </c>
      <c r="P258" s="1739" t="str">
        <f t="shared" si="657"/>
        <v>-</v>
      </c>
      <c r="Q258" s="1739" t="str">
        <f t="shared" si="657"/>
        <v>-</v>
      </c>
      <c r="R258" s="1739" t="str">
        <f t="shared" si="657"/>
        <v>-</v>
      </c>
      <c r="S258" s="1718" t="str">
        <f t="shared" si="657"/>
        <v>-</v>
      </c>
      <c r="T258" s="1716" t="str">
        <f t="shared" si="657"/>
        <v>-</v>
      </c>
      <c r="U258" s="1740" t="str">
        <f t="shared" si="657"/>
        <v>-</v>
      </c>
      <c r="V258" s="1718" t="str">
        <f t="shared" si="657"/>
        <v>-</v>
      </c>
      <c r="AA258" s="486"/>
      <c r="AB258" s="226"/>
      <c r="AD258" s="226"/>
      <c r="AE258" s="226"/>
    </row>
    <row r="259" spans="1:31" ht="12.75" thickBot="1">
      <c r="A259" s="458" t="s">
        <v>642</v>
      </c>
      <c r="B259" s="459" t="s">
        <v>759</v>
      </c>
      <c r="C259" s="1741" t="str">
        <f t="shared" ref="C259:V259" si="658">IF(ISERROR(C189/C119),"-",C189/C119)</f>
        <v>-</v>
      </c>
      <c r="D259" s="1741" t="str">
        <f t="shared" si="658"/>
        <v>-</v>
      </c>
      <c r="E259" s="1741" t="str">
        <f t="shared" si="658"/>
        <v>-</v>
      </c>
      <c r="F259" s="1741" t="str">
        <f t="shared" si="658"/>
        <v>-</v>
      </c>
      <c r="G259" s="1741" t="str">
        <f t="shared" si="658"/>
        <v>-</v>
      </c>
      <c r="H259" s="1741" t="str">
        <f t="shared" si="658"/>
        <v>-</v>
      </c>
      <c r="I259" s="1741" t="str">
        <f t="shared" si="658"/>
        <v>-</v>
      </c>
      <c r="J259" s="1742" t="str">
        <f t="shared" si="658"/>
        <v>-</v>
      </c>
      <c r="K259" s="1741" t="str">
        <f t="shared" si="658"/>
        <v>-</v>
      </c>
      <c r="L259" s="1741" t="str">
        <f t="shared" si="658"/>
        <v>-</v>
      </c>
      <c r="M259" s="1741" t="str">
        <f t="shared" si="658"/>
        <v>-</v>
      </c>
      <c r="N259" s="1741" t="str">
        <f t="shared" si="658"/>
        <v>-</v>
      </c>
      <c r="O259" s="1741" t="str">
        <f t="shared" si="658"/>
        <v>-</v>
      </c>
      <c r="P259" s="1741" t="str">
        <f t="shared" si="658"/>
        <v>-</v>
      </c>
      <c r="Q259" s="1741" t="str">
        <f t="shared" si="658"/>
        <v>-</v>
      </c>
      <c r="R259" s="1741" t="str">
        <f t="shared" si="658"/>
        <v>-</v>
      </c>
      <c r="S259" s="1742" t="str">
        <f t="shared" si="658"/>
        <v>-</v>
      </c>
      <c r="T259" s="1741" t="str">
        <f t="shared" si="658"/>
        <v>-</v>
      </c>
      <c r="U259" s="1743" t="str">
        <f t="shared" si="658"/>
        <v>-</v>
      </c>
      <c r="V259" s="1742" t="str">
        <f t="shared" si="658"/>
        <v>-</v>
      </c>
      <c r="X259" s="486"/>
      <c r="Y259" s="486"/>
      <c r="AA259" s="486"/>
      <c r="AB259" s="226"/>
      <c r="AD259" s="226"/>
      <c r="AE259" s="226"/>
    </row>
    <row r="260" spans="1:31" ht="12.75" thickBot="1">
      <c r="A260" s="781">
        <f>+A258+1</f>
        <v>28</v>
      </c>
      <c r="B260" s="782" t="s">
        <v>774</v>
      </c>
      <c r="C260" s="1739" t="str">
        <f t="shared" ref="C260:V260" si="659">IF(ISERROR(C190/C120),"-",C190/C120)</f>
        <v>-</v>
      </c>
      <c r="D260" s="1739" t="str">
        <f t="shared" si="659"/>
        <v>-</v>
      </c>
      <c r="E260" s="1739" t="str">
        <f t="shared" si="659"/>
        <v>-</v>
      </c>
      <c r="F260" s="1739" t="str">
        <f t="shared" si="659"/>
        <v>-</v>
      </c>
      <c r="G260" s="1739" t="str">
        <f t="shared" si="659"/>
        <v>-</v>
      </c>
      <c r="H260" s="1739" t="str">
        <f t="shared" si="659"/>
        <v>-</v>
      </c>
      <c r="I260" s="1739" t="str">
        <f t="shared" si="659"/>
        <v>-</v>
      </c>
      <c r="J260" s="1718" t="str">
        <f t="shared" si="659"/>
        <v>-</v>
      </c>
      <c r="K260" s="1739" t="str">
        <f t="shared" si="659"/>
        <v>-</v>
      </c>
      <c r="L260" s="1739" t="str">
        <f t="shared" si="659"/>
        <v>-</v>
      </c>
      <c r="M260" s="1739" t="str">
        <f t="shared" si="659"/>
        <v>-</v>
      </c>
      <c r="N260" s="1739" t="str">
        <f t="shared" si="659"/>
        <v>-</v>
      </c>
      <c r="O260" s="1739" t="str">
        <f t="shared" si="659"/>
        <v>-</v>
      </c>
      <c r="P260" s="1739" t="str">
        <f t="shared" si="659"/>
        <v>-</v>
      </c>
      <c r="Q260" s="1739" t="str">
        <f t="shared" si="659"/>
        <v>-</v>
      </c>
      <c r="R260" s="1739" t="str">
        <f t="shared" si="659"/>
        <v>-</v>
      </c>
      <c r="S260" s="1718" t="str">
        <f t="shared" si="659"/>
        <v>-</v>
      </c>
      <c r="T260" s="1716" t="str">
        <f t="shared" si="659"/>
        <v>-</v>
      </c>
      <c r="U260" s="1740" t="str">
        <f t="shared" si="659"/>
        <v>-</v>
      </c>
      <c r="V260" s="1718" t="str">
        <f t="shared" si="659"/>
        <v>-</v>
      </c>
      <c r="AA260" s="486"/>
      <c r="AB260" s="226"/>
      <c r="AD260" s="226"/>
      <c r="AE260" s="226"/>
    </row>
    <row r="261" spans="1:31" ht="12.75" thickBot="1">
      <c r="A261" s="458" t="s">
        <v>758</v>
      </c>
      <c r="B261" s="459" t="s">
        <v>774</v>
      </c>
      <c r="C261" s="1741" t="str">
        <f t="shared" ref="C261:V261" si="660">IF(ISERROR(C191/C121),"-",C191/C121)</f>
        <v>-</v>
      </c>
      <c r="D261" s="1741" t="str">
        <f t="shared" si="660"/>
        <v>-</v>
      </c>
      <c r="E261" s="1741" t="str">
        <f t="shared" si="660"/>
        <v>-</v>
      </c>
      <c r="F261" s="1741" t="str">
        <f t="shared" si="660"/>
        <v>-</v>
      </c>
      <c r="G261" s="1741" t="str">
        <f t="shared" si="660"/>
        <v>-</v>
      </c>
      <c r="H261" s="1741" t="str">
        <f t="shared" si="660"/>
        <v>-</v>
      </c>
      <c r="I261" s="1741" t="str">
        <f t="shared" si="660"/>
        <v>-</v>
      </c>
      <c r="J261" s="1742" t="str">
        <f t="shared" si="660"/>
        <v>-</v>
      </c>
      <c r="K261" s="1741" t="str">
        <f t="shared" si="660"/>
        <v>-</v>
      </c>
      <c r="L261" s="1741" t="str">
        <f t="shared" si="660"/>
        <v>-</v>
      </c>
      <c r="M261" s="1741" t="str">
        <f t="shared" si="660"/>
        <v>-</v>
      </c>
      <c r="N261" s="1741" t="str">
        <f t="shared" si="660"/>
        <v>-</v>
      </c>
      <c r="O261" s="1741" t="str">
        <f t="shared" si="660"/>
        <v>-</v>
      </c>
      <c r="P261" s="1741" t="str">
        <f t="shared" si="660"/>
        <v>-</v>
      </c>
      <c r="Q261" s="1741" t="str">
        <f t="shared" si="660"/>
        <v>-</v>
      </c>
      <c r="R261" s="1741" t="str">
        <f t="shared" si="660"/>
        <v>-</v>
      </c>
      <c r="S261" s="1742" t="str">
        <f t="shared" si="660"/>
        <v>-</v>
      </c>
      <c r="T261" s="1741" t="str">
        <f t="shared" si="660"/>
        <v>-</v>
      </c>
      <c r="U261" s="1743" t="str">
        <f t="shared" si="660"/>
        <v>-</v>
      </c>
      <c r="V261" s="1742" t="str">
        <f t="shared" si="660"/>
        <v>-</v>
      </c>
      <c r="X261" s="486"/>
      <c r="Y261" s="486"/>
      <c r="AA261" s="486"/>
      <c r="AB261" s="226"/>
      <c r="AD261" s="226"/>
      <c r="AE261" s="226"/>
    </row>
    <row r="262" spans="1:31" ht="12.75" thickBot="1">
      <c r="A262" s="452" t="s">
        <v>20</v>
      </c>
      <c r="B262" s="462" t="s">
        <v>423</v>
      </c>
      <c r="C262" s="1724">
        <f t="shared" ref="C262:V262" si="661">IF(ISERROR(C192/C122),"-",C192/C122)</f>
        <v>1</v>
      </c>
      <c r="D262" s="1725" t="str">
        <f t="shared" si="661"/>
        <v>-</v>
      </c>
      <c r="E262" s="1725">
        <f t="shared" si="661"/>
        <v>1</v>
      </c>
      <c r="F262" s="1725">
        <f t="shared" si="661"/>
        <v>1</v>
      </c>
      <c r="G262" s="1725" t="str">
        <f t="shared" si="661"/>
        <v>-</v>
      </c>
      <c r="H262" s="1725" t="str">
        <f t="shared" si="661"/>
        <v>-</v>
      </c>
      <c r="I262" s="1726" t="str">
        <f t="shared" si="661"/>
        <v>-</v>
      </c>
      <c r="J262" s="1727">
        <f t="shared" si="661"/>
        <v>1</v>
      </c>
      <c r="K262" s="1724">
        <f t="shared" si="661"/>
        <v>0.98613389578939148</v>
      </c>
      <c r="L262" s="1724">
        <f t="shared" si="661"/>
        <v>0.97463090039509248</v>
      </c>
      <c r="M262" s="1724">
        <f t="shared" si="661"/>
        <v>0.8492852409353403</v>
      </c>
      <c r="N262" s="1724" t="str">
        <f t="shared" si="661"/>
        <v>-</v>
      </c>
      <c r="O262" s="1724">
        <f t="shared" si="661"/>
        <v>1</v>
      </c>
      <c r="P262" s="1724" t="str">
        <f t="shared" si="661"/>
        <v>-</v>
      </c>
      <c r="Q262" s="1724" t="str">
        <f t="shared" si="661"/>
        <v>-</v>
      </c>
      <c r="R262" s="1724" t="str">
        <f t="shared" si="661"/>
        <v>-</v>
      </c>
      <c r="S262" s="1727">
        <f t="shared" si="661"/>
        <v>0.95029787642932639</v>
      </c>
      <c r="T262" s="1724">
        <f t="shared" si="661"/>
        <v>0.94846567699511808</v>
      </c>
      <c r="U262" s="1726">
        <f t="shared" si="661"/>
        <v>1</v>
      </c>
      <c r="V262" s="1727">
        <f t="shared" si="661"/>
        <v>0.87579541361507984</v>
      </c>
      <c r="X262" s="486">
        <f>+'13.mell_ÖNKfeladatok2019'!J136-J262</f>
        <v>0</v>
      </c>
      <c r="Y262" s="486">
        <f>+'13.mell_ÖNKfeladatok2019'!J298-S262</f>
        <v>0</v>
      </c>
      <c r="AA262" s="486"/>
      <c r="AB262" s="226"/>
      <c r="AD262" s="226"/>
      <c r="AE262" s="226"/>
    </row>
    <row r="263" spans="1:31" ht="12.75" thickBot="1">
      <c r="A263" s="473"/>
      <c r="B263" s="526"/>
      <c r="C263" s="1744"/>
      <c r="D263" s="1745"/>
      <c r="E263" s="1745"/>
      <c r="F263" s="1745"/>
      <c r="G263" s="1745"/>
      <c r="H263" s="1745"/>
      <c r="I263" s="1746"/>
      <c r="J263" s="1747"/>
      <c r="K263" s="1748"/>
      <c r="L263" s="1748"/>
      <c r="M263" s="1748"/>
      <c r="N263" s="1748"/>
      <c r="O263" s="1748"/>
      <c r="P263" s="1748"/>
      <c r="Q263" s="1748"/>
      <c r="R263" s="1748"/>
      <c r="S263" s="1730"/>
      <c r="T263" s="1728"/>
      <c r="U263" s="1749"/>
      <c r="V263" s="1730"/>
      <c r="X263" s="159"/>
      <c r="Y263" s="159"/>
      <c r="AA263" s="486"/>
      <c r="AB263" s="226"/>
      <c r="AD263" s="226"/>
      <c r="AE263" s="226"/>
    </row>
    <row r="264" spans="1:31" ht="12.75" thickBot="1">
      <c r="A264" s="734">
        <f>+A260+1</f>
        <v>29</v>
      </c>
      <c r="B264" s="668" t="s">
        <v>864</v>
      </c>
      <c r="C264" s="1732" t="str">
        <f t="shared" ref="C264:V264" si="662">IF(ISERROR(C194/C124),"-",C194/C124)</f>
        <v>-</v>
      </c>
      <c r="D264" s="1732" t="str">
        <f t="shared" si="662"/>
        <v>-</v>
      </c>
      <c r="E264" s="1732" t="str">
        <f t="shared" si="662"/>
        <v>-</v>
      </c>
      <c r="F264" s="1732" t="str">
        <f t="shared" si="662"/>
        <v>-</v>
      </c>
      <c r="G264" s="1732" t="str">
        <f t="shared" si="662"/>
        <v>-</v>
      </c>
      <c r="H264" s="1732" t="str">
        <f t="shared" si="662"/>
        <v>-</v>
      </c>
      <c r="I264" s="1732" t="str">
        <f t="shared" si="662"/>
        <v>-</v>
      </c>
      <c r="J264" s="1706" t="str">
        <f t="shared" si="662"/>
        <v>-</v>
      </c>
      <c r="K264" s="1732" t="str">
        <f t="shared" si="662"/>
        <v>-</v>
      </c>
      <c r="L264" s="1732" t="str">
        <f t="shared" si="662"/>
        <v>-</v>
      </c>
      <c r="M264" s="1732" t="str">
        <f t="shared" si="662"/>
        <v>-</v>
      </c>
      <c r="N264" s="1732" t="str">
        <f t="shared" si="662"/>
        <v>-</v>
      </c>
      <c r="O264" s="1732" t="str">
        <f t="shared" si="662"/>
        <v>-</v>
      </c>
      <c r="P264" s="1732" t="str">
        <f t="shared" si="662"/>
        <v>-</v>
      </c>
      <c r="Q264" s="1732" t="str">
        <f t="shared" si="662"/>
        <v>-</v>
      </c>
      <c r="R264" s="1732" t="str">
        <f t="shared" si="662"/>
        <v>-</v>
      </c>
      <c r="S264" s="1706" t="str">
        <f t="shared" si="662"/>
        <v>-</v>
      </c>
      <c r="T264" s="1707" t="str">
        <f t="shared" si="662"/>
        <v>-</v>
      </c>
      <c r="U264" s="1733" t="str">
        <f t="shared" si="662"/>
        <v>-</v>
      </c>
      <c r="V264" s="1706" t="str">
        <f t="shared" si="662"/>
        <v>-</v>
      </c>
      <c r="AA264" s="486"/>
      <c r="AB264" s="226"/>
      <c r="AD264" s="226"/>
      <c r="AE264" s="226"/>
    </row>
    <row r="265" spans="1:31" ht="12.75" thickBot="1">
      <c r="A265" s="309" t="s">
        <v>889</v>
      </c>
      <c r="B265" s="450" t="s">
        <v>864</v>
      </c>
      <c r="C265" s="1716" t="str">
        <f t="shared" ref="C265:V265" si="663">IF(ISERROR(C195/C125),"-",C195/C125)</f>
        <v>-</v>
      </c>
      <c r="D265" s="1716" t="str">
        <f t="shared" si="663"/>
        <v>-</v>
      </c>
      <c r="E265" s="1716" t="str">
        <f t="shared" si="663"/>
        <v>-</v>
      </c>
      <c r="F265" s="1716" t="str">
        <f t="shared" si="663"/>
        <v>-</v>
      </c>
      <c r="G265" s="1716" t="str">
        <f t="shared" si="663"/>
        <v>-</v>
      </c>
      <c r="H265" s="1716" t="str">
        <f t="shared" si="663"/>
        <v>-</v>
      </c>
      <c r="I265" s="1716" t="str">
        <f t="shared" si="663"/>
        <v>-</v>
      </c>
      <c r="J265" s="1718" t="str">
        <f t="shared" si="663"/>
        <v>-</v>
      </c>
      <c r="K265" s="1716" t="str">
        <f t="shared" si="663"/>
        <v>-</v>
      </c>
      <c r="L265" s="1716" t="str">
        <f t="shared" si="663"/>
        <v>-</v>
      </c>
      <c r="M265" s="1716" t="str">
        <f t="shared" si="663"/>
        <v>-</v>
      </c>
      <c r="N265" s="1716" t="str">
        <f t="shared" si="663"/>
        <v>-</v>
      </c>
      <c r="O265" s="1716" t="str">
        <f t="shared" si="663"/>
        <v>-</v>
      </c>
      <c r="P265" s="1716" t="str">
        <f t="shared" si="663"/>
        <v>-</v>
      </c>
      <c r="Q265" s="1716" t="str">
        <f t="shared" si="663"/>
        <v>-</v>
      </c>
      <c r="R265" s="1716" t="str">
        <f t="shared" si="663"/>
        <v>-</v>
      </c>
      <c r="S265" s="1718" t="str">
        <f t="shared" si="663"/>
        <v>-</v>
      </c>
      <c r="T265" s="1716" t="str">
        <f t="shared" si="663"/>
        <v>-</v>
      </c>
      <c r="U265" s="1719" t="str">
        <f t="shared" si="663"/>
        <v>-</v>
      </c>
      <c r="V265" s="1718" t="str">
        <f t="shared" si="663"/>
        <v>-</v>
      </c>
      <c r="X265" s="486"/>
      <c r="Y265" s="486"/>
      <c r="AA265" s="486"/>
      <c r="AB265" s="226"/>
      <c r="AD265" s="226"/>
      <c r="AE265" s="226"/>
    </row>
    <row r="266" spans="1:31" ht="12.75" thickBot="1">
      <c r="A266" s="781">
        <f>+A264+1</f>
        <v>30</v>
      </c>
      <c r="B266" s="782" t="s">
        <v>1086</v>
      </c>
      <c r="C266" s="1739" t="str">
        <f t="shared" ref="C266:V266" si="664">IF(ISERROR(C196/C126),"-",C196/C126)</f>
        <v>-</v>
      </c>
      <c r="D266" s="1739" t="str">
        <f t="shared" si="664"/>
        <v>-</v>
      </c>
      <c r="E266" s="1739" t="str">
        <f t="shared" si="664"/>
        <v>-</v>
      </c>
      <c r="F266" s="1739" t="str">
        <f t="shared" si="664"/>
        <v>-</v>
      </c>
      <c r="G266" s="1739" t="str">
        <f t="shared" si="664"/>
        <v>-</v>
      </c>
      <c r="H266" s="1739" t="str">
        <f t="shared" si="664"/>
        <v>-</v>
      </c>
      <c r="I266" s="1739" t="str">
        <f t="shared" si="664"/>
        <v>-</v>
      </c>
      <c r="J266" s="1718" t="str">
        <f t="shared" si="664"/>
        <v>-</v>
      </c>
      <c r="K266" s="1739">
        <f t="shared" si="664"/>
        <v>1</v>
      </c>
      <c r="L266" s="1739">
        <f t="shared" si="664"/>
        <v>1</v>
      </c>
      <c r="M266" s="1739">
        <f t="shared" si="664"/>
        <v>0.99467613132209409</v>
      </c>
      <c r="N266" s="1739" t="str">
        <f t="shared" si="664"/>
        <v>-</v>
      </c>
      <c r="O266" s="1739">
        <f t="shared" si="664"/>
        <v>1</v>
      </c>
      <c r="P266" s="1739">
        <f t="shared" si="664"/>
        <v>1</v>
      </c>
      <c r="Q266" s="1739" t="str">
        <f t="shared" si="664"/>
        <v>-</v>
      </c>
      <c r="R266" s="1739" t="str">
        <f t="shared" si="664"/>
        <v>-</v>
      </c>
      <c r="S266" s="1718">
        <f t="shared" si="664"/>
        <v>0.99942561746122915</v>
      </c>
      <c r="T266" s="1716">
        <f t="shared" si="664"/>
        <v>0.99942561746122915</v>
      </c>
      <c r="U266" s="1740">
        <f t="shared" si="664"/>
        <v>1</v>
      </c>
      <c r="V266" s="1718">
        <f t="shared" si="664"/>
        <v>0.99942479148691399</v>
      </c>
      <c r="AA266" s="486"/>
      <c r="AB266" s="226">
        <v>15</v>
      </c>
      <c r="AD266" s="226"/>
      <c r="AE266" s="226"/>
    </row>
    <row r="267" spans="1:31" ht="12.75" thickBot="1">
      <c r="A267" s="458" t="s">
        <v>890</v>
      </c>
      <c r="B267" s="459" t="s">
        <v>865</v>
      </c>
      <c r="C267" s="1716" t="str">
        <f t="shared" ref="C267:V267" si="665">IF(ISERROR(C197/C127),"-",C197/C127)</f>
        <v>-</v>
      </c>
      <c r="D267" s="1716" t="str">
        <f t="shared" si="665"/>
        <v>-</v>
      </c>
      <c r="E267" s="1716" t="str">
        <f t="shared" si="665"/>
        <v>-</v>
      </c>
      <c r="F267" s="1716" t="str">
        <f t="shared" si="665"/>
        <v>-</v>
      </c>
      <c r="G267" s="1716" t="str">
        <f t="shared" si="665"/>
        <v>-</v>
      </c>
      <c r="H267" s="1716" t="str">
        <f t="shared" si="665"/>
        <v>-</v>
      </c>
      <c r="I267" s="1716" t="str">
        <f t="shared" si="665"/>
        <v>-</v>
      </c>
      <c r="J267" s="1718" t="str">
        <f t="shared" si="665"/>
        <v>-</v>
      </c>
      <c r="K267" s="1716">
        <f t="shared" si="665"/>
        <v>1</v>
      </c>
      <c r="L267" s="1716">
        <f t="shared" si="665"/>
        <v>1</v>
      </c>
      <c r="M267" s="1716">
        <f t="shared" si="665"/>
        <v>0.99467613132209409</v>
      </c>
      <c r="N267" s="1716" t="str">
        <f t="shared" si="665"/>
        <v>-</v>
      </c>
      <c r="O267" s="1716">
        <f t="shared" si="665"/>
        <v>1</v>
      </c>
      <c r="P267" s="1716">
        <f t="shared" si="665"/>
        <v>1</v>
      </c>
      <c r="Q267" s="1716" t="str">
        <f t="shared" si="665"/>
        <v>-</v>
      </c>
      <c r="R267" s="1716" t="str">
        <f t="shared" si="665"/>
        <v>-</v>
      </c>
      <c r="S267" s="1718">
        <f t="shared" si="665"/>
        <v>0.99942561746122915</v>
      </c>
      <c r="T267" s="1716">
        <f t="shared" si="665"/>
        <v>0.99942561746122915</v>
      </c>
      <c r="U267" s="1719">
        <f t="shared" si="665"/>
        <v>1</v>
      </c>
      <c r="V267" s="1718">
        <f t="shared" si="665"/>
        <v>0.99942479148691399</v>
      </c>
      <c r="X267" s="486"/>
      <c r="Y267" s="486"/>
      <c r="AA267" s="486"/>
      <c r="AB267" s="226"/>
      <c r="AD267" s="226"/>
      <c r="AE267" s="226"/>
    </row>
    <row r="268" spans="1:31" ht="12.75" thickBot="1">
      <c r="A268" s="781">
        <f>+A266+1</f>
        <v>31</v>
      </c>
      <c r="B268" s="782" t="s">
        <v>892</v>
      </c>
      <c r="C268" s="1739" t="str">
        <f t="shared" ref="C268:V268" si="666">IF(ISERROR(C198/C128),"-",C198/C128)</f>
        <v>-</v>
      </c>
      <c r="D268" s="1739" t="str">
        <f t="shared" si="666"/>
        <v>-</v>
      </c>
      <c r="E268" s="1739" t="str">
        <f t="shared" si="666"/>
        <v>-</v>
      </c>
      <c r="F268" s="1739" t="str">
        <f t="shared" si="666"/>
        <v>-</v>
      </c>
      <c r="G268" s="1739" t="str">
        <f t="shared" si="666"/>
        <v>-</v>
      </c>
      <c r="H268" s="1739" t="str">
        <f t="shared" si="666"/>
        <v>-</v>
      </c>
      <c r="I268" s="1739" t="str">
        <f t="shared" si="666"/>
        <v>-</v>
      </c>
      <c r="J268" s="1718" t="str">
        <f t="shared" si="666"/>
        <v>-</v>
      </c>
      <c r="K268" s="1739" t="str">
        <f t="shared" si="666"/>
        <v>-</v>
      </c>
      <c r="L268" s="1739" t="str">
        <f t="shared" si="666"/>
        <v>-</v>
      </c>
      <c r="M268" s="1739" t="str">
        <f t="shared" si="666"/>
        <v>-</v>
      </c>
      <c r="N268" s="1739" t="str">
        <f t="shared" si="666"/>
        <v>-</v>
      </c>
      <c r="O268" s="1739" t="str">
        <f t="shared" si="666"/>
        <v>-</v>
      </c>
      <c r="P268" s="1739" t="str">
        <f t="shared" si="666"/>
        <v>-</v>
      </c>
      <c r="Q268" s="1739" t="str">
        <f t="shared" si="666"/>
        <v>-</v>
      </c>
      <c r="R268" s="1739" t="str">
        <f t="shared" si="666"/>
        <v>-</v>
      </c>
      <c r="S268" s="1718" t="str">
        <f t="shared" si="666"/>
        <v>-</v>
      </c>
      <c r="T268" s="1716" t="str">
        <f t="shared" si="666"/>
        <v>-</v>
      </c>
      <c r="U268" s="1740" t="str">
        <f t="shared" si="666"/>
        <v>-</v>
      </c>
      <c r="V268" s="1718" t="str">
        <f t="shared" si="666"/>
        <v>-</v>
      </c>
      <c r="AA268" s="486"/>
      <c r="AB268" s="226"/>
      <c r="AD268" s="226"/>
      <c r="AE268" s="226"/>
    </row>
    <row r="269" spans="1:31" ht="12.75" thickBot="1">
      <c r="A269" s="458" t="s">
        <v>891</v>
      </c>
      <c r="B269" s="459" t="s">
        <v>892</v>
      </c>
      <c r="C269" s="1716" t="str">
        <f t="shared" ref="C269:V269" si="667">IF(ISERROR(C199/C129),"-",C199/C129)</f>
        <v>-</v>
      </c>
      <c r="D269" s="1716" t="str">
        <f t="shared" si="667"/>
        <v>-</v>
      </c>
      <c r="E269" s="1716" t="str">
        <f t="shared" si="667"/>
        <v>-</v>
      </c>
      <c r="F269" s="1716" t="str">
        <f t="shared" si="667"/>
        <v>-</v>
      </c>
      <c r="G269" s="1716" t="str">
        <f t="shared" si="667"/>
        <v>-</v>
      </c>
      <c r="H269" s="1716" t="str">
        <f t="shared" si="667"/>
        <v>-</v>
      </c>
      <c r="I269" s="1716" t="str">
        <f t="shared" si="667"/>
        <v>-</v>
      </c>
      <c r="J269" s="1718" t="str">
        <f t="shared" si="667"/>
        <v>-</v>
      </c>
      <c r="K269" s="1716" t="str">
        <f t="shared" si="667"/>
        <v>-</v>
      </c>
      <c r="L269" s="1716" t="str">
        <f t="shared" si="667"/>
        <v>-</v>
      </c>
      <c r="M269" s="1716" t="str">
        <f t="shared" si="667"/>
        <v>-</v>
      </c>
      <c r="N269" s="1716" t="str">
        <f t="shared" si="667"/>
        <v>-</v>
      </c>
      <c r="O269" s="1716" t="str">
        <f t="shared" si="667"/>
        <v>-</v>
      </c>
      <c r="P269" s="1716" t="str">
        <f t="shared" si="667"/>
        <v>-</v>
      </c>
      <c r="Q269" s="1716" t="str">
        <f t="shared" si="667"/>
        <v>-</v>
      </c>
      <c r="R269" s="1716" t="str">
        <f t="shared" si="667"/>
        <v>-</v>
      </c>
      <c r="S269" s="1718" t="str">
        <f t="shared" si="667"/>
        <v>-</v>
      </c>
      <c r="T269" s="1716" t="str">
        <f t="shared" si="667"/>
        <v>-</v>
      </c>
      <c r="U269" s="1719" t="str">
        <f t="shared" si="667"/>
        <v>-</v>
      </c>
      <c r="V269" s="1718" t="str">
        <f t="shared" si="667"/>
        <v>-</v>
      </c>
      <c r="X269" s="486"/>
      <c r="Y269" s="486"/>
      <c r="AA269" s="486"/>
      <c r="AB269" s="226"/>
      <c r="AD269" s="226"/>
      <c r="AE269" s="226"/>
    </row>
    <row r="270" spans="1:31" ht="12.75" thickBot="1">
      <c r="A270" s="452" t="s">
        <v>560</v>
      </c>
      <c r="B270" s="462" t="s">
        <v>866</v>
      </c>
      <c r="C270" s="1724" t="str">
        <f t="shared" ref="C270:V270" si="668">IF(ISERROR(C200/C130),"-",C200/C130)</f>
        <v>-</v>
      </c>
      <c r="D270" s="1724" t="str">
        <f t="shared" si="668"/>
        <v>-</v>
      </c>
      <c r="E270" s="1724" t="str">
        <f t="shared" si="668"/>
        <v>-</v>
      </c>
      <c r="F270" s="1724" t="str">
        <f t="shared" si="668"/>
        <v>-</v>
      </c>
      <c r="G270" s="1724" t="str">
        <f t="shared" si="668"/>
        <v>-</v>
      </c>
      <c r="H270" s="1724" t="str">
        <f t="shared" si="668"/>
        <v>-</v>
      </c>
      <c r="I270" s="1724" t="str">
        <f t="shared" si="668"/>
        <v>-</v>
      </c>
      <c r="J270" s="1727" t="str">
        <f t="shared" si="668"/>
        <v>-</v>
      </c>
      <c r="K270" s="1724">
        <f t="shared" si="668"/>
        <v>1</v>
      </c>
      <c r="L270" s="1724">
        <f t="shared" si="668"/>
        <v>1</v>
      </c>
      <c r="M270" s="1724">
        <f t="shared" si="668"/>
        <v>0.99467613132209409</v>
      </c>
      <c r="N270" s="1724" t="str">
        <f t="shared" si="668"/>
        <v>-</v>
      </c>
      <c r="O270" s="1724">
        <f t="shared" si="668"/>
        <v>1</v>
      </c>
      <c r="P270" s="1724">
        <f t="shared" si="668"/>
        <v>1</v>
      </c>
      <c r="Q270" s="1724" t="str">
        <f t="shared" si="668"/>
        <v>-</v>
      </c>
      <c r="R270" s="1724" t="str">
        <f t="shared" si="668"/>
        <v>-</v>
      </c>
      <c r="S270" s="1727">
        <f t="shared" si="668"/>
        <v>0.99942561746122915</v>
      </c>
      <c r="T270" s="1724">
        <f t="shared" si="668"/>
        <v>0.99942561746122915</v>
      </c>
      <c r="U270" s="1726">
        <f t="shared" si="668"/>
        <v>1</v>
      </c>
      <c r="V270" s="1727">
        <f t="shared" si="668"/>
        <v>0.99942479148691399</v>
      </c>
      <c r="X270" s="486" t="e">
        <f>+'13.mell_ÖNKfeladatok2019'!J145-J270</f>
        <v>#VALUE!</v>
      </c>
      <c r="Y270" s="486">
        <f>+'13.mell_ÖNKfeladatok2019'!J307-S270</f>
        <v>0</v>
      </c>
      <c r="AA270" s="486"/>
      <c r="AB270" s="226"/>
      <c r="AD270" s="226"/>
      <c r="AE270" s="226"/>
    </row>
    <row r="271" spans="1:31" ht="12.75" thickBot="1">
      <c r="A271" s="473"/>
      <c r="B271" s="526"/>
      <c r="C271" s="1744"/>
      <c r="D271" s="1745"/>
      <c r="E271" s="1745"/>
      <c r="F271" s="1745"/>
      <c r="G271" s="1745"/>
      <c r="H271" s="1745"/>
      <c r="I271" s="1746"/>
      <c r="J271" s="1747"/>
      <c r="K271" s="1748"/>
      <c r="L271" s="1748"/>
      <c r="M271" s="1748"/>
      <c r="N271" s="1748"/>
      <c r="O271" s="1748"/>
      <c r="P271" s="1748"/>
      <c r="Q271" s="1748"/>
      <c r="R271" s="1748"/>
      <c r="S271" s="1730"/>
      <c r="T271" s="1728"/>
      <c r="U271" s="1749"/>
      <c r="V271" s="1730"/>
      <c r="X271" s="159"/>
      <c r="Y271" s="159"/>
      <c r="AA271" s="486"/>
      <c r="AB271" s="226"/>
      <c r="AD271" s="226"/>
      <c r="AE271" s="226"/>
    </row>
    <row r="272" spans="1:31" ht="12.75" thickBot="1">
      <c r="A272" s="734">
        <f>+A268+1</f>
        <v>32</v>
      </c>
      <c r="B272" s="668" t="s">
        <v>1169</v>
      </c>
      <c r="C272" s="1732" t="str">
        <f t="shared" ref="C272:V272" si="669">IF(ISERROR(C202/C132),"-",C202/C132)</f>
        <v>-</v>
      </c>
      <c r="D272" s="1732" t="str">
        <f t="shared" si="669"/>
        <v>-</v>
      </c>
      <c r="E272" s="1732" t="str">
        <f t="shared" si="669"/>
        <v>-</v>
      </c>
      <c r="F272" s="1732" t="str">
        <f t="shared" si="669"/>
        <v>-</v>
      </c>
      <c r="G272" s="1732" t="str">
        <f t="shared" si="669"/>
        <v>-</v>
      </c>
      <c r="H272" s="1732" t="str">
        <f t="shared" si="669"/>
        <v>-</v>
      </c>
      <c r="I272" s="1732" t="str">
        <f t="shared" si="669"/>
        <v>-</v>
      </c>
      <c r="J272" s="1706" t="str">
        <f t="shared" si="669"/>
        <v>-</v>
      </c>
      <c r="K272" s="1732">
        <f t="shared" si="669"/>
        <v>0.99914731061768813</v>
      </c>
      <c r="L272" s="1732">
        <f t="shared" si="669"/>
        <v>1</v>
      </c>
      <c r="M272" s="1732">
        <f t="shared" si="669"/>
        <v>0.99598393574297184</v>
      </c>
      <c r="N272" s="1732" t="str">
        <f t="shared" si="669"/>
        <v>-</v>
      </c>
      <c r="O272" s="1732">
        <f t="shared" si="669"/>
        <v>1</v>
      </c>
      <c r="P272" s="1732">
        <f t="shared" si="669"/>
        <v>1</v>
      </c>
      <c r="Q272" s="1732">
        <f t="shared" si="669"/>
        <v>1</v>
      </c>
      <c r="R272" s="1732" t="str">
        <f t="shared" si="669"/>
        <v>-</v>
      </c>
      <c r="S272" s="1706">
        <f t="shared" si="669"/>
        <v>0.99935733734715626</v>
      </c>
      <c r="T272" s="1707">
        <f t="shared" si="669"/>
        <v>0.99935733734715626</v>
      </c>
      <c r="U272" s="1733">
        <f t="shared" si="669"/>
        <v>1</v>
      </c>
      <c r="V272" s="1706">
        <f t="shared" si="669"/>
        <v>0.99741355839912882</v>
      </c>
      <c r="AA272" s="486"/>
      <c r="AB272" s="226">
        <v>147</v>
      </c>
      <c r="AD272" s="226"/>
      <c r="AE272" s="226">
        <f>((0+(201+39))+(72+13))+(108+19)</f>
        <v>452</v>
      </c>
    </row>
    <row r="273" spans="1:31" ht="12.75" thickBot="1">
      <c r="A273" s="309" t="s">
        <v>1157</v>
      </c>
      <c r="B273" s="450" t="s">
        <v>1109</v>
      </c>
      <c r="C273" s="1716" t="str">
        <f t="shared" ref="C273:V273" si="670">IF(ISERROR(C203/C133),"-",C203/C133)</f>
        <v>-</v>
      </c>
      <c r="D273" s="1716" t="str">
        <f t="shared" si="670"/>
        <v>-</v>
      </c>
      <c r="E273" s="1716" t="str">
        <f t="shared" si="670"/>
        <v>-</v>
      </c>
      <c r="F273" s="1716" t="str">
        <f t="shared" si="670"/>
        <v>-</v>
      </c>
      <c r="G273" s="1716" t="str">
        <f t="shared" si="670"/>
        <v>-</v>
      </c>
      <c r="H273" s="1716" t="str">
        <f t="shared" si="670"/>
        <v>-</v>
      </c>
      <c r="I273" s="1716" t="str">
        <f t="shared" si="670"/>
        <v>-</v>
      </c>
      <c r="J273" s="1718" t="str">
        <f t="shared" si="670"/>
        <v>-</v>
      </c>
      <c r="K273" s="1716">
        <f t="shared" si="670"/>
        <v>0.99914731061768813</v>
      </c>
      <c r="L273" s="1716">
        <f t="shared" si="670"/>
        <v>1</v>
      </c>
      <c r="M273" s="1716">
        <f t="shared" si="670"/>
        <v>0.99598393574297184</v>
      </c>
      <c r="N273" s="1716" t="str">
        <f t="shared" si="670"/>
        <v>-</v>
      </c>
      <c r="O273" s="1716">
        <f t="shared" si="670"/>
        <v>1</v>
      </c>
      <c r="P273" s="1716">
        <f t="shared" si="670"/>
        <v>1</v>
      </c>
      <c r="Q273" s="1716">
        <f t="shared" si="670"/>
        <v>1</v>
      </c>
      <c r="R273" s="1716" t="str">
        <f t="shared" si="670"/>
        <v>-</v>
      </c>
      <c r="S273" s="1718">
        <f t="shared" si="670"/>
        <v>0.99935733734715626</v>
      </c>
      <c r="T273" s="1716">
        <f t="shared" si="670"/>
        <v>0.99935733734715626</v>
      </c>
      <c r="U273" s="1719">
        <f t="shared" si="670"/>
        <v>1</v>
      </c>
      <c r="V273" s="1718">
        <f t="shared" si="670"/>
        <v>0.99741355839912882</v>
      </c>
      <c r="X273" s="486"/>
      <c r="Y273" s="486"/>
      <c r="AA273" s="486"/>
      <c r="AB273" s="226"/>
      <c r="AD273" s="226"/>
      <c r="AE273" s="226"/>
    </row>
    <row r="274" spans="1:31" ht="12.75" thickBot="1">
      <c r="A274" s="781">
        <f>+A272+1</f>
        <v>33</v>
      </c>
      <c r="B274" s="782" t="s">
        <v>1111</v>
      </c>
      <c r="C274" s="1739" t="str">
        <f t="shared" ref="C274:V274" si="671">IF(ISERROR(C204/C134),"-",C204/C134)</f>
        <v>-</v>
      </c>
      <c r="D274" s="1739" t="str">
        <f t="shared" si="671"/>
        <v>-</v>
      </c>
      <c r="E274" s="1739" t="str">
        <f t="shared" si="671"/>
        <v>-</v>
      </c>
      <c r="F274" s="1739" t="str">
        <f t="shared" si="671"/>
        <v>-</v>
      </c>
      <c r="G274" s="1739" t="str">
        <f t="shared" si="671"/>
        <v>-</v>
      </c>
      <c r="H274" s="1739" t="str">
        <f t="shared" si="671"/>
        <v>-</v>
      </c>
      <c r="I274" s="1739" t="str">
        <f t="shared" si="671"/>
        <v>-</v>
      </c>
      <c r="J274" s="1718" t="str">
        <f t="shared" si="671"/>
        <v>-</v>
      </c>
      <c r="K274" s="1739" t="str">
        <f t="shared" si="671"/>
        <v>-</v>
      </c>
      <c r="L274" s="1739" t="str">
        <f t="shared" si="671"/>
        <v>-</v>
      </c>
      <c r="M274" s="1739" t="str">
        <f t="shared" si="671"/>
        <v>-</v>
      </c>
      <c r="N274" s="1739" t="str">
        <f t="shared" si="671"/>
        <v>-</v>
      </c>
      <c r="O274" s="1739" t="str">
        <f t="shared" si="671"/>
        <v>-</v>
      </c>
      <c r="P274" s="1739" t="str">
        <f t="shared" si="671"/>
        <v>-</v>
      </c>
      <c r="Q274" s="1739" t="str">
        <f t="shared" si="671"/>
        <v>-</v>
      </c>
      <c r="R274" s="1739" t="str">
        <f t="shared" si="671"/>
        <v>-</v>
      </c>
      <c r="S274" s="1718" t="str">
        <f t="shared" si="671"/>
        <v>-</v>
      </c>
      <c r="T274" s="1716" t="str">
        <f t="shared" si="671"/>
        <v>-</v>
      </c>
      <c r="U274" s="1740" t="str">
        <f t="shared" si="671"/>
        <v>-</v>
      </c>
      <c r="V274" s="1718" t="str">
        <f t="shared" si="671"/>
        <v>-</v>
      </c>
      <c r="AA274" s="486"/>
      <c r="AB274" s="226"/>
      <c r="AD274" s="226"/>
      <c r="AE274" s="226"/>
    </row>
    <row r="275" spans="1:31" ht="12.75" thickBot="1">
      <c r="A275" s="458" t="s">
        <v>1158</v>
      </c>
      <c r="B275" s="459" t="s">
        <v>1110</v>
      </c>
      <c r="C275" s="1716" t="str">
        <f t="shared" ref="C275:V275" si="672">IF(ISERROR(C205/C135),"-",C205/C135)</f>
        <v>-</v>
      </c>
      <c r="D275" s="1716" t="str">
        <f t="shared" si="672"/>
        <v>-</v>
      </c>
      <c r="E275" s="1716" t="str">
        <f t="shared" si="672"/>
        <v>-</v>
      </c>
      <c r="F275" s="1716" t="str">
        <f t="shared" si="672"/>
        <v>-</v>
      </c>
      <c r="G275" s="1716" t="str">
        <f t="shared" si="672"/>
        <v>-</v>
      </c>
      <c r="H275" s="1716" t="str">
        <f t="shared" si="672"/>
        <v>-</v>
      </c>
      <c r="I275" s="1716" t="str">
        <f t="shared" si="672"/>
        <v>-</v>
      </c>
      <c r="J275" s="1718" t="str">
        <f t="shared" si="672"/>
        <v>-</v>
      </c>
      <c r="K275" s="1716" t="str">
        <f t="shared" si="672"/>
        <v>-</v>
      </c>
      <c r="L275" s="1716" t="str">
        <f t="shared" si="672"/>
        <v>-</v>
      </c>
      <c r="M275" s="1716" t="str">
        <f t="shared" si="672"/>
        <v>-</v>
      </c>
      <c r="N275" s="1716" t="str">
        <f t="shared" si="672"/>
        <v>-</v>
      </c>
      <c r="O275" s="1716" t="str">
        <f t="shared" si="672"/>
        <v>-</v>
      </c>
      <c r="P275" s="1716" t="str">
        <f t="shared" si="672"/>
        <v>-</v>
      </c>
      <c r="Q275" s="1716" t="str">
        <f t="shared" si="672"/>
        <v>-</v>
      </c>
      <c r="R275" s="1716" t="str">
        <f t="shared" si="672"/>
        <v>-</v>
      </c>
      <c r="S275" s="1718" t="str">
        <f t="shared" si="672"/>
        <v>-</v>
      </c>
      <c r="T275" s="1716" t="str">
        <f t="shared" si="672"/>
        <v>-</v>
      </c>
      <c r="U275" s="1719" t="str">
        <f t="shared" si="672"/>
        <v>-</v>
      </c>
      <c r="V275" s="1718" t="str">
        <f t="shared" si="672"/>
        <v>-</v>
      </c>
      <c r="X275" s="486"/>
      <c r="Y275" s="486"/>
      <c r="AA275" s="486"/>
      <c r="AB275" s="226"/>
      <c r="AD275" s="226"/>
      <c r="AE275" s="226"/>
    </row>
    <row r="276" spans="1:31" ht="12.75" thickBot="1">
      <c r="A276" s="781">
        <f>+A274+1</f>
        <v>34</v>
      </c>
      <c r="B276" s="782" t="s">
        <v>1111</v>
      </c>
      <c r="C276" s="1739" t="str">
        <f t="shared" ref="C276:V276" si="673">IF(ISERROR(C206/C136),"-",C206/C136)</f>
        <v>-</v>
      </c>
      <c r="D276" s="1739" t="str">
        <f t="shared" si="673"/>
        <v>-</v>
      </c>
      <c r="E276" s="1739" t="str">
        <f t="shared" si="673"/>
        <v>-</v>
      </c>
      <c r="F276" s="1739" t="str">
        <f t="shared" si="673"/>
        <v>-</v>
      </c>
      <c r="G276" s="1739" t="str">
        <f t="shared" si="673"/>
        <v>-</v>
      </c>
      <c r="H276" s="1739" t="str">
        <f t="shared" si="673"/>
        <v>-</v>
      </c>
      <c r="I276" s="1739" t="str">
        <f t="shared" si="673"/>
        <v>-</v>
      </c>
      <c r="J276" s="1718" t="str">
        <f t="shared" si="673"/>
        <v>-</v>
      </c>
      <c r="K276" s="1739" t="str">
        <f t="shared" si="673"/>
        <v>-</v>
      </c>
      <c r="L276" s="1739" t="str">
        <f t="shared" si="673"/>
        <v>-</v>
      </c>
      <c r="M276" s="1739" t="str">
        <f t="shared" si="673"/>
        <v>-</v>
      </c>
      <c r="N276" s="1739" t="str">
        <f t="shared" si="673"/>
        <v>-</v>
      </c>
      <c r="O276" s="1739" t="str">
        <f t="shared" si="673"/>
        <v>-</v>
      </c>
      <c r="P276" s="1739" t="str">
        <f t="shared" si="673"/>
        <v>-</v>
      </c>
      <c r="Q276" s="1739" t="str">
        <f t="shared" si="673"/>
        <v>-</v>
      </c>
      <c r="R276" s="1739" t="str">
        <f t="shared" si="673"/>
        <v>-</v>
      </c>
      <c r="S276" s="1718" t="str">
        <f t="shared" si="673"/>
        <v>-</v>
      </c>
      <c r="T276" s="1716" t="str">
        <f t="shared" si="673"/>
        <v>-</v>
      </c>
      <c r="U276" s="1740" t="str">
        <f t="shared" si="673"/>
        <v>-</v>
      </c>
      <c r="V276" s="1718" t="str">
        <f t="shared" si="673"/>
        <v>-</v>
      </c>
      <c r="AA276" s="486"/>
      <c r="AB276" s="226"/>
      <c r="AD276" s="226"/>
      <c r="AE276" s="226"/>
    </row>
    <row r="277" spans="1:31" ht="24.75" thickBot="1">
      <c r="A277" s="458" t="s">
        <v>1159</v>
      </c>
      <c r="B277" s="459" t="s">
        <v>1111</v>
      </c>
      <c r="C277" s="1716" t="str">
        <f t="shared" ref="C277:V277" si="674">IF(ISERROR(C207/C137),"-",C207/C137)</f>
        <v>-</v>
      </c>
      <c r="D277" s="1716" t="str">
        <f t="shared" si="674"/>
        <v>-</v>
      </c>
      <c r="E277" s="1716" t="str">
        <f t="shared" si="674"/>
        <v>-</v>
      </c>
      <c r="F277" s="1716" t="str">
        <f t="shared" si="674"/>
        <v>-</v>
      </c>
      <c r="G277" s="1716" t="str">
        <f t="shared" si="674"/>
        <v>-</v>
      </c>
      <c r="H277" s="1716" t="str">
        <f t="shared" si="674"/>
        <v>-</v>
      </c>
      <c r="I277" s="1716" t="str">
        <f t="shared" si="674"/>
        <v>-</v>
      </c>
      <c r="J277" s="1718" t="str">
        <f t="shared" si="674"/>
        <v>-</v>
      </c>
      <c r="K277" s="1716" t="str">
        <f t="shared" si="674"/>
        <v>-</v>
      </c>
      <c r="L277" s="1716" t="str">
        <f t="shared" si="674"/>
        <v>-</v>
      </c>
      <c r="M277" s="1716" t="str">
        <f t="shared" si="674"/>
        <v>-</v>
      </c>
      <c r="N277" s="1716" t="str">
        <f t="shared" si="674"/>
        <v>-</v>
      </c>
      <c r="O277" s="1716" t="str">
        <f t="shared" si="674"/>
        <v>-</v>
      </c>
      <c r="P277" s="1716" t="str">
        <f t="shared" si="674"/>
        <v>-</v>
      </c>
      <c r="Q277" s="1716" t="str">
        <f t="shared" si="674"/>
        <v>-</v>
      </c>
      <c r="R277" s="1716" t="str">
        <f t="shared" si="674"/>
        <v>-</v>
      </c>
      <c r="S277" s="1718" t="str">
        <f t="shared" si="674"/>
        <v>-</v>
      </c>
      <c r="T277" s="1716" t="str">
        <f t="shared" si="674"/>
        <v>-</v>
      </c>
      <c r="U277" s="1719" t="str">
        <f t="shared" si="674"/>
        <v>-</v>
      </c>
      <c r="V277" s="1718" t="str">
        <f t="shared" si="674"/>
        <v>-</v>
      </c>
      <c r="X277" s="486"/>
      <c r="Y277" s="486"/>
      <c r="AA277" s="486"/>
      <c r="AB277" s="226"/>
      <c r="AD277" s="226"/>
      <c r="AE277" s="226"/>
    </row>
    <row r="278" spans="1:31" ht="12.75" thickBot="1">
      <c r="A278" s="452" t="s">
        <v>42</v>
      </c>
      <c r="B278" s="462" t="s">
        <v>1112</v>
      </c>
      <c r="C278" s="1724" t="str">
        <f t="shared" ref="C278:V278" si="675">IF(ISERROR(C208/C138),"-",C208/C138)</f>
        <v>-</v>
      </c>
      <c r="D278" s="1724" t="str">
        <f t="shared" si="675"/>
        <v>-</v>
      </c>
      <c r="E278" s="1724" t="str">
        <f t="shared" si="675"/>
        <v>-</v>
      </c>
      <c r="F278" s="1724" t="str">
        <f t="shared" si="675"/>
        <v>-</v>
      </c>
      <c r="G278" s="1724" t="str">
        <f t="shared" si="675"/>
        <v>-</v>
      </c>
      <c r="H278" s="1724" t="str">
        <f t="shared" si="675"/>
        <v>-</v>
      </c>
      <c r="I278" s="1724" t="str">
        <f t="shared" si="675"/>
        <v>-</v>
      </c>
      <c r="J278" s="1727" t="str">
        <f t="shared" si="675"/>
        <v>-</v>
      </c>
      <c r="K278" s="1724">
        <f t="shared" si="675"/>
        <v>0.99914731061768813</v>
      </c>
      <c r="L278" s="1724">
        <f t="shared" si="675"/>
        <v>1</v>
      </c>
      <c r="M278" s="1724">
        <f t="shared" si="675"/>
        <v>0.99598393574297184</v>
      </c>
      <c r="N278" s="1724" t="str">
        <f t="shared" si="675"/>
        <v>-</v>
      </c>
      <c r="O278" s="1724">
        <f t="shared" si="675"/>
        <v>1</v>
      </c>
      <c r="P278" s="1724">
        <f t="shared" si="675"/>
        <v>1</v>
      </c>
      <c r="Q278" s="1724">
        <f t="shared" si="675"/>
        <v>1</v>
      </c>
      <c r="R278" s="1724" t="str">
        <f t="shared" si="675"/>
        <v>-</v>
      </c>
      <c r="S278" s="1727">
        <f t="shared" si="675"/>
        <v>0.99935733734715626</v>
      </c>
      <c r="T278" s="1724">
        <f t="shared" si="675"/>
        <v>0.99935733734715626</v>
      </c>
      <c r="U278" s="1726">
        <f t="shared" si="675"/>
        <v>1</v>
      </c>
      <c r="V278" s="1727">
        <f t="shared" si="675"/>
        <v>0.99741355839912882</v>
      </c>
      <c r="X278" s="486" t="e">
        <f>+'13.mell_ÖNKfeladatok2019'!J157-J278</f>
        <v>#VALUE!</v>
      </c>
      <c r="Y278" s="486">
        <f>+'13.mell_ÖNKfeladatok2019'!J319-S278</f>
        <v>0</v>
      </c>
      <c r="AA278" s="486"/>
      <c r="AB278" s="226"/>
      <c r="AD278" s="226"/>
      <c r="AE278" s="226"/>
    </row>
    <row r="279" spans="1:31" ht="12.75" thickBot="1">
      <c r="A279" s="473"/>
      <c r="B279" s="526"/>
      <c r="C279" s="1744"/>
      <c r="D279" s="1745"/>
      <c r="E279" s="1745"/>
      <c r="F279" s="1745"/>
      <c r="G279" s="1745"/>
      <c r="H279" s="1745"/>
      <c r="I279" s="1746"/>
      <c r="J279" s="1747"/>
      <c r="K279" s="1748"/>
      <c r="L279" s="1748"/>
      <c r="M279" s="1748"/>
      <c r="N279" s="1748"/>
      <c r="O279" s="1748"/>
      <c r="P279" s="1748"/>
      <c r="Q279" s="1748"/>
      <c r="R279" s="1748"/>
      <c r="S279" s="1730"/>
      <c r="T279" s="1728"/>
      <c r="U279" s="1749"/>
      <c r="V279" s="1730"/>
      <c r="AA279" s="486"/>
      <c r="AB279" s="226"/>
      <c r="AD279" s="226"/>
      <c r="AE279" s="226"/>
    </row>
    <row r="280" spans="1:31" ht="12.75" thickBot="1">
      <c r="A280" s="509" t="s">
        <v>41</v>
      </c>
      <c r="B280" s="510" t="s">
        <v>776</v>
      </c>
      <c r="C280" s="1724">
        <f t="shared" ref="C280:V280" si="676">IF(ISERROR(C210/C140),"-",C210/C140)</f>
        <v>1</v>
      </c>
      <c r="D280" s="1724">
        <f t="shared" si="676"/>
        <v>0.72810777483653977</v>
      </c>
      <c r="E280" s="1724">
        <f t="shared" si="676"/>
        <v>0.80092091844618185</v>
      </c>
      <c r="F280" s="1724">
        <f t="shared" si="676"/>
        <v>0.87209938704028023</v>
      </c>
      <c r="G280" s="1724">
        <f t="shared" si="676"/>
        <v>1</v>
      </c>
      <c r="H280" s="1724">
        <f t="shared" si="676"/>
        <v>0.82451824518245187</v>
      </c>
      <c r="I280" s="1724">
        <f t="shared" si="676"/>
        <v>0.12789987789987789</v>
      </c>
      <c r="J280" s="1727">
        <f t="shared" si="676"/>
        <v>0.94406105159347531</v>
      </c>
      <c r="K280" s="1750">
        <f t="shared" si="676"/>
        <v>0.98422182080381349</v>
      </c>
      <c r="L280" s="1750">
        <f t="shared" si="676"/>
        <v>0.9484127206108578</v>
      </c>
      <c r="M280" s="1750">
        <f t="shared" si="676"/>
        <v>0.89375641234622349</v>
      </c>
      <c r="N280" s="1750">
        <f t="shared" si="676"/>
        <v>0.99314296233231325</v>
      </c>
      <c r="O280" s="1750">
        <f t="shared" si="676"/>
        <v>2.7768886690114278E-2</v>
      </c>
      <c r="P280" s="1750">
        <f t="shared" si="676"/>
        <v>0.87634342226320827</v>
      </c>
      <c r="Q280" s="1750">
        <f t="shared" si="676"/>
        <v>0.60165404648104115</v>
      </c>
      <c r="R280" s="1750">
        <f t="shared" si="676"/>
        <v>1</v>
      </c>
      <c r="S280" s="1751">
        <f t="shared" si="676"/>
        <v>0.46253035632630263</v>
      </c>
      <c r="T280" s="1750">
        <f t="shared" si="676"/>
        <v>-7.2817085049036029E-2</v>
      </c>
      <c r="U280" s="1752">
        <f t="shared" si="676"/>
        <v>1</v>
      </c>
      <c r="V280" s="1751">
        <f t="shared" si="676"/>
        <v>98.358393499166937</v>
      </c>
      <c r="AA280" s="486"/>
      <c r="AB280" s="226"/>
      <c r="AD280" s="226"/>
      <c r="AE280" s="226"/>
    </row>
    <row r="281" spans="1:31" ht="12.75" thickBot="1">
      <c r="A281" s="538" t="s">
        <v>37</v>
      </c>
      <c r="B281" s="530" t="s">
        <v>777</v>
      </c>
      <c r="C281" s="1753" t="str">
        <f t="shared" ref="C281:V281" si="677">IF(ISERROR(C211/C141),"-",C211/C141)</f>
        <v>-</v>
      </c>
      <c r="D281" s="1753" t="str">
        <f t="shared" si="677"/>
        <v>-</v>
      </c>
      <c r="E281" s="1753" t="str">
        <f t="shared" si="677"/>
        <v>-</v>
      </c>
      <c r="F281" s="1753">
        <f t="shared" si="677"/>
        <v>1</v>
      </c>
      <c r="G281" s="1753" t="str">
        <f t="shared" si="677"/>
        <v>-</v>
      </c>
      <c r="H281" s="1753" t="str">
        <f t="shared" si="677"/>
        <v>-</v>
      </c>
      <c r="I281" s="1753">
        <f t="shared" si="677"/>
        <v>1</v>
      </c>
      <c r="J281" s="1754">
        <f t="shared" si="677"/>
        <v>1</v>
      </c>
      <c r="K281" s="1753" t="str">
        <f t="shared" si="677"/>
        <v>-</v>
      </c>
      <c r="L281" s="1753" t="str">
        <f t="shared" si="677"/>
        <v>-</v>
      </c>
      <c r="M281" s="1753" t="str">
        <f t="shared" si="677"/>
        <v>-</v>
      </c>
      <c r="N281" s="1753" t="str">
        <f t="shared" si="677"/>
        <v>-</v>
      </c>
      <c r="O281" s="1753">
        <f t="shared" si="677"/>
        <v>1</v>
      </c>
      <c r="P281" s="1753" t="str">
        <f t="shared" si="677"/>
        <v>-</v>
      </c>
      <c r="Q281" s="1753" t="str">
        <f t="shared" si="677"/>
        <v>-</v>
      </c>
      <c r="R281" s="1753" t="str">
        <f t="shared" si="677"/>
        <v>-</v>
      </c>
      <c r="S281" s="1754">
        <f t="shared" si="677"/>
        <v>1</v>
      </c>
      <c r="T281" s="1753">
        <f t="shared" si="677"/>
        <v>1</v>
      </c>
      <c r="U281" s="1755">
        <f t="shared" si="677"/>
        <v>1</v>
      </c>
      <c r="V281" s="1754">
        <f t="shared" si="677"/>
        <v>1</v>
      </c>
      <c r="AA281" s="486"/>
      <c r="AB281" s="226">
        <v>-3138867</v>
      </c>
      <c r="AD281" s="226"/>
      <c r="AE281" s="226"/>
    </row>
    <row r="282" spans="1:31" ht="12.75" thickBot="1">
      <c r="A282" s="509" t="s">
        <v>1163</v>
      </c>
      <c r="B282" s="510" t="s">
        <v>778</v>
      </c>
      <c r="C282" s="1724">
        <f t="shared" ref="C282:V282" si="678">IF(ISERROR(C212/C142),"-",C212/C142)</f>
        <v>1</v>
      </c>
      <c r="D282" s="1724">
        <f t="shared" si="678"/>
        <v>0.72810777483653977</v>
      </c>
      <c r="E282" s="1724">
        <f t="shared" si="678"/>
        <v>0.80092091844618185</v>
      </c>
      <c r="F282" s="1724">
        <f t="shared" si="678"/>
        <v>0.99076437903589132</v>
      </c>
      <c r="G282" s="1724">
        <f t="shared" si="678"/>
        <v>1</v>
      </c>
      <c r="H282" s="1724">
        <f t="shared" si="678"/>
        <v>0.82451824518245187</v>
      </c>
      <c r="I282" s="1724">
        <f t="shared" si="678"/>
        <v>0.99771334447981186</v>
      </c>
      <c r="J282" s="1727">
        <f t="shared" si="678"/>
        <v>0.97095758547898825</v>
      </c>
      <c r="K282" s="1724">
        <f t="shared" si="678"/>
        <v>0.98422182080381349</v>
      </c>
      <c r="L282" s="1724">
        <f t="shared" si="678"/>
        <v>0.9484127206108578</v>
      </c>
      <c r="M282" s="1724">
        <f t="shared" si="678"/>
        <v>0.89375641234622349</v>
      </c>
      <c r="N282" s="1724">
        <f t="shared" si="678"/>
        <v>0.99314296233231325</v>
      </c>
      <c r="O282" s="1724">
        <f t="shared" si="678"/>
        <v>5.4777150501736913E-2</v>
      </c>
      <c r="P282" s="1724">
        <f t="shared" si="678"/>
        <v>0.87634342226320827</v>
      </c>
      <c r="Q282" s="1724">
        <f t="shared" si="678"/>
        <v>0.60165404648104115</v>
      </c>
      <c r="R282" s="1724">
        <f t="shared" si="678"/>
        <v>1</v>
      </c>
      <c r="S282" s="1727">
        <f t="shared" si="678"/>
        <v>0.46996378892344776</v>
      </c>
      <c r="T282" s="1724" t="str">
        <f t="shared" si="678"/>
        <v>-</v>
      </c>
      <c r="U282" s="1726" t="str">
        <f t="shared" si="678"/>
        <v>-</v>
      </c>
      <c r="V282" s="1727" t="str">
        <f t="shared" si="678"/>
        <v>-</v>
      </c>
      <c r="AA282" s="486"/>
      <c r="AB282" s="226"/>
      <c r="AD282" s="226"/>
      <c r="AE282" s="226"/>
    </row>
    <row r="284" spans="1:31" hidden="1">
      <c r="J284" s="226">
        <f>+'1.mell._Össz_Mérleg2019'!F102</f>
        <v>0.97095758547898825</v>
      </c>
      <c r="S284" s="226">
        <f>+'1.mell._Össz_Mérleg2019'!F208</f>
        <v>0.46996378892344776</v>
      </c>
    </row>
    <row r="285" spans="1:31" hidden="1">
      <c r="J285" s="226">
        <f>+J284-J282</f>
        <v>0</v>
      </c>
      <c r="S285" s="226">
        <f>+S284-S282</f>
        <v>0</v>
      </c>
    </row>
  </sheetData>
  <mergeCells count="1">
    <mergeCell ref="A3:V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5" orientation="landscape" r:id="rId1"/>
  <headerFooter>
    <oddHeader xml:space="preserve">&amp;C14. melléklet - &amp;P. oldal
</oddHeader>
  </headerFooter>
  <rowBreaks count="3" manualBreakCount="3">
    <brk id="72" max="21" man="1"/>
    <brk id="143" max="21" man="1"/>
    <brk id="212" max="21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F0"/>
  </sheetPr>
  <dimension ref="A1:J274"/>
  <sheetViews>
    <sheetView zoomScaleNormal="100" zoomScaleSheetLayoutView="85" workbookViewId="0">
      <pane ySplit="5" topLeftCell="A6" activePane="bottomLeft" state="frozen"/>
      <selection activeCell="A6" sqref="A6"/>
      <selection pane="bottomLeft" activeCell="A6" sqref="A6"/>
    </sheetView>
  </sheetViews>
  <sheetFormatPr defaultRowHeight="12"/>
  <cols>
    <col min="1" max="1" width="8.85546875" style="815" customWidth="1"/>
    <col min="2" max="2" width="92.140625" style="815" bestFit="1" customWidth="1"/>
    <col min="3" max="5" width="19.140625" style="815" customWidth="1"/>
    <col min="6" max="6" width="9.140625" style="815"/>
    <col min="7" max="9" width="9.140625" style="815" hidden="1" customWidth="1"/>
    <col min="10" max="10" width="10.85546875" style="118" hidden="1" customWidth="1"/>
    <col min="11" max="246" width="9.140625" style="815"/>
    <col min="247" max="247" width="8.85546875" style="815" customWidth="1"/>
    <col min="248" max="248" width="92.140625" style="815" bestFit="1" customWidth="1"/>
    <col min="249" max="251" width="19.140625" style="815" customWidth="1"/>
    <col min="252" max="502" width="9.140625" style="815"/>
    <col min="503" max="503" width="8.85546875" style="815" customWidth="1"/>
    <col min="504" max="504" width="92.140625" style="815" bestFit="1" customWidth="1"/>
    <col min="505" max="507" width="19.140625" style="815" customWidth="1"/>
    <col min="508" max="758" width="9.140625" style="815"/>
    <col min="759" max="759" width="8.85546875" style="815" customWidth="1"/>
    <col min="760" max="760" width="92.140625" style="815" bestFit="1" customWidth="1"/>
    <col min="761" max="763" width="19.140625" style="815" customWidth="1"/>
    <col min="764" max="1014" width="9.140625" style="815"/>
    <col min="1015" max="1015" width="8.85546875" style="815" customWidth="1"/>
    <col min="1016" max="1016" width="92.140625" style="815" bestFit="1" customWidth="1"/>
    <col min="1017" max="1019" width="19.140625" style="815" customWidth="1"/>
    <col min="1020" max="1270" width="9.140625" style="815"/>
    <col min="1271" max="1271" width="8.85546875" style="815" customWidth="1"/>
    <col min="1272" max="1272" width="92.140625" style="815" bestFit="1" customWidth="1"/>
    <col min="1273" max="1275" width="19.140625" style="815" customWidth="1"/>
    <col min="1276" max="1526" width="9.140625" style="815"/>
    <col min="1527" max="1527" width="8.85546875" style="815" customWidth="1"/>
    <col min="1528" max="1528" width="92.140625" style="815" bestFit="1" customWidth="1"/>
    <col min="1529" max="1531" width="19.140625" style="815" customWidth="1"/>
    <col min="1532" max="1782" width="9.140625" style="815"/>
    <col min="1783" max="1783" width="8.85546875" style="815" customWidth="1"/>
    <col min="1784" max="1784" width="92.140625" style="815" bestFit="1" customWidth="1"/>
    <col min="1785" max="1787" width="19.140625" style="815" customWidth="1"/>
    <col min="1788" max="2038" width="9.140625" style="815"/>
    <col min="2039" max="2039" width="8.85546875" style="815" customWidth="1"/>
    <col min="2040" max="2040" width="92.140625" style="815" bestFit="1" customWidth="1"/>
    <col min="2041" max="2043" width="19.140625" style="815" customWidth="1"/>
    <col min="2044" max="2294" width="9.140625" style="815"/>
    <col min="2295" max="2295" width="8.85546875" style="815" customWidth="1"/>
    <col min="2296" max="2296" width="92.140625" style="815" bestFit="1" customWidth="1"/>
    <col min="2297" max="2299" width="19.140625" style="815" customWidth="1"/>
    <col min="2300" max="2550" width="9.140625" style="815"/>
    <col min="2551" max="2551" width="8.85546875" style="815" customWidth="1"/>
    <col min="2552" max="2552" width="92.140625" style="815" bestFit="1" customWidth="1"/>
    <col min="2553" max="2555" width="19.140625" style="815" customWidth="1"/>
    <col min="2556" max="2806" width="9.140625" style="815"/>
    <col min="2807" max="2807" width="8.85546875" style="815" customWidth="1"/>
    <col min="2808" max="2808" width="92.140625" style="815" bestFit="1" customWidth="1"/>
    <col min="2809" max="2811" width="19.140625" style="815" customWidth="1"/>
    <col min="2812" max="3062" width="9.140625" style="815"/>
    <col min="3063" max="3063" width="8.85546875" style="815" customWidth="1"/>
    <col min="3064" max="3064" width="92.140625" style="815" bestFit="1" customWidth="1"/>
    <col min="3065" max="3067" width="19.140625" style="815" customWidth="1"/>
    <col min="3068" max="3318" width="9.140625" style="815"/>
    <col min="3319" max="3319" width="8.85546875" style="815" customWidth="1"/>
    <col min="3320" max="3320" width="92.140625" style="815" bestFit="1" customWidth="1"/>
    <col min="3321" max="3323" width="19.140625" style="815" customWidth="1"/>
    <col min="3324" max="3574" width="9.140625" style="815"/>
    <col min="3575" max="3575" width="8.85546875" style="815" customWidth="1"/>
    <col min="3576" max="3576" width="92.140625" style="815" bestFit="1" customWidth="1"/>
    <col min="3577" max="3579" width="19.140625" style="815" customWidth="1"/>
    <col min="3580" max="3830" width="9.140625" style="815"/>
    <col min="3831" max="3831" width="8.85546875" style="815" customWidth="1"/>
    <col min="3832" max="3832" width="92.140625" style="815" bestFit="1" customWidth="1"/>
    <col min="3833" max="3835" width="19.140625" style="815" customWidth="1"/>
    <col min="3836" max="4086" width="9.140625" style="815"/>
    <col min="4087" max="4087" width="8.85546875" style="815" customWidth="1"/>
    <col min="4088" max="4088" width="92.140625" style="815" bestFit="1" customWidth="1"/>
    <col min="4089" max="4091" width="19.140625" style="815" customWidth="1"/>
    <col min="4092" max="4342" width="9.140625" style="815"/>
    <col min="4343" max="4343" width="8.85546875" style="815" customWidth="1"/>
    <col min="4344" max="4344" width="92.140625" style="815" bestFit="1" customWidth="1"/>
    <col min="4345" max="4347" width="19.140625" style="815" customWidth="1"/>
    <col min="4348" max="4598" width="9.140625" style="815"/>
    <col min="4599" max="4599" width="8.85546875" style="815" customWidth="1"/>
    <col min="4600" max="4600" width="92.140625" style="815" bestFit="1" customWidth="1"/>
    <col min="4601" max="4603" width="19.140625" style="815" customWidth="1"/>
    <col min="4604" max="4854" width="9.140625" style="815"/>
    <col min="4855" max="4855" width="8.85546875" style="815" customWidth="1"/>
    <col min="4856" max="4856" width="92.140625" style="815" bestFit="1" customWidth="1"/>
    <col min="4857" max="4859" width="19.140625" style="815" customWidth="1"/>
    <col min="4860" max="5110" width="9.140625" style="815"/>
    <col min="5111" max="5111" width="8.85546875" style="815" customWidth="1"/>
    <col min="5112" max="5112" width="92.140625" style="815" bestFit="1" customWidth="1"/>
    <col min="5113" max="5115" width="19.140625" style="815" customWidth="1"/>
    <col min="5116" max="5366" width="9.140625" style="815"/>
    <col min="5367" max="5367" width="8.85546875" style="815" customWidth="1"/>
    <col min="5368" max="5368" width="92.140625" style="815" bestFit="1" customWidth="1"/>
    <col min="5369" max="5371" width="19.140625" style="815" customWidth="1"/>
    <col min="5372" max="5622" width="9.140625" style="815"/>
    <col min="5623" max="5623" width="8.85546875" style="815" customWidth="1"/>
    <col min="5624" max="5624" width="92.140625" style="815" bestFit="1" customWidth="1"/>
    <col min="5625" max="5627" width="19.140625" style="815" customWidth="1"/>
    <col min="5628" max="5878" width="9.140625" style="815"/>
    <col min="5879" max="5879" width="8.85546875" style="815" customWidth="1"/>
    <col min="5880" max="5880" width="92.140625" style="815" bestFit="1" customWidth="1"/>
    <col min="5881" max="5883" width="19.140625" style="815" customWidth="1"/>
    <col min="5884" max="6134" width="9.140625" style="815"/>
    <col min="6135" max="6135" width="8.85546875" style="815" customWidth="1"/>
    <col min="6136" max="6136" width="92.140625" style="815" bestFit="1" customWidth="1"/>
    <col min="6137" max="6139" width="19.140625" style="815" customWidth="1"/>
    <col min="6140" max="6390" width="9.140625" style="815"/>
    <col min="6391" max="6391" width="8.85546875" style="815" customWidth="1"/>
    <col min="6392" max="6392" width="92.140625" style="815" bestFit="1" customWidth="1"/>
    <col min="6393" max="6395" width="19.140625" style="815" customWidth="1"/>
    <col min="6396" max="6646" width="9.140625" style="815"/>
    <col min="6647" max="6647" width="8.85546875" style="815" customWidth="1"/>
    <col min="6648" max="6648" width="92.140625" style="815" bestFit="1" customWidth="1"/>
    <col min="6649" max="6651" width="19.140625" style="815" customWidth="1"/>
    <col min="6652" max="6902" width="9.140625" style="815"/>
    <col min="6903" max="6903" width="8.85546875" style="815" customWidth="1"/>
    <col min="6904" max="6904" width="92.140625" style="815" bestFit="1" customWidth="1"/>
    <col min="6905" max="6907" width="19.140625" style="815" customWidth="1"/>
    <col min="6908" max="7158" width="9.140625" style="815"/>
    <col min="7159" max="7159" width="8.85546875" style="815" customWidth="1"/>
    <col min="7160" max="7160" width="92.140625" style="815" bestFit="1" customWidth="1"/>
    <col min="7161" max="7163" width="19.140625" style="815" customWidth="1"/>
    <col min="7164" max="7414" width="9.140625" style="815"/>
    <col min="7415" max="7415" width="8.85546875" style="815" customWidth="1"/>
    <col min="7416" max="7416" width="92.140625" style="815" bestFit="1" customWidth="1"/>
    <col min="7417" max="7419" width="19.140625" style="815" customWidth="1"/>
    <col min="7420" max="7670" width="9.140625" style="815"/>
    <col min="7671" max="7671" width="8.85546875" style="815" customWidth="1"/>
    <col min="7672" max="7672" width="92.140625" style="815" bestFit="1" customWidth="1"/>
    <col min="7673" max="7675" width="19.140625" style="815" customWidth="1"/>
    <col min="7676" max="7926" width="9.140625" style="815"/>
    <col min="7927" max="7927" width="8.85546875" style="815" customWidth="1"/>
    <col min="7928" max="7928" width="92.140625" style="815" bestFit="1" customWidth="1"/>
    <col min="7929" max="7931" width="19.140625" style="815" customWidth="1"/>
    <col min="7932" max="8182" width="9.140625" style="815"/>
    <col min="8183" max="8183" width="8.85546875" style="815" customWidth="1"/>
    <col min="8184" max="8184" width="92.140625" style="815" bestFit="1" customWidth="1"/>
    <col min="8185" max="8187" width="19.140625" style="815" customWidth="1"/>
    <col min="8188" max="8438" width="9.140625" style="815"/>
    <col min="8439" max="8439" width="8.85546875" style="815" customWidth="1"/>
    <col min="8440" max="8440" width="92.140625" style="815" bestFit="1" customWidth="1"/>
    <col min="8441" max="8443" width="19.140625" style="815" customWidth="1"/>
    <col min="8444" max="8694" width="9.140625" style="815"/>
    <col min="8695" max="8695" width="8.85546875" style="815" customWidth="1"/>
    <col min="8696" max="8696" width="92.140625" style="815" bestFit="1" customWidth="1"/>
    <col min="8697" max="8699" width="19.140625" style="815" customWidth="1"/>
    <col min="8700" max="8950" width="9.140625" style="815"/>
    <col min="8951" max="8951" width="8.85546875" style="815" customWidth="1"/>
    <col min="8952" max="8952" width="92.140625" style="815" bestFit="1" customWidth="1"/>
    <col min="8953" max="8955" width="19.140625" style="815" customWidth="1"/>
    <col min="8956" max="9206" width="9.140625" style="815"/>
    <col min="9207" max="9207" width="8.85546875" style="815" customWidth="1"/>
    <col min="9208" max="9208" width="92.140625" style="815" bestFit="1" customWidth="1"/>
    <col min="9209" max="9211" width="19.140625" style="815" customWidth="1"/>
    <col min="9212" max="9462" width="9.140625" style="815"/>
    <col min="9463" max="9463" width="8.85546875" style="815" customWidth="1"/>
    <col min="9464" max="9464" width="92.140625" style="815" bestFit="1" customWidth="1"/>
    <col min="9465" max="9467" width="19.140625" style="815" customWidth="1"/>
    <col min="9468" max="9718" width="9.140625" style="815"/>
    <col min="9719" max="9719" width="8.85546875" style="815" customWidth="1"/>
    <col min="9720" max="9720" width="92.140625" style="815" bestFit="1" customWidth="1"/>
    <col min="9721" max="9723" width="19.140625" style="815" customWidth="1"/>
    <col min="9724" max="9974" width="9.140625" style="815"/>
    <col min="9975" max="9975" width="8.85546875" style="815" customWidth="1"/>
    <col min="9976" max="9976" width="92.140625" style="815" bestFit="1" customWidth="1"/>
    <col min="9977" max="9979" width="19.140625" style="815" customWidth="1"/>
    <col min="9980" max="10230" width="9.140625" style="815"/>
    <col min="10231" max="10231" width="8.85546875" style="815" customWidth="1"/>
    <col min="10232" max="10232" width="92.140625" style="815" bestFit="1" customWidth="1"/>
    <col min="10233" max="10235" width="19.140625" style="815" customWidth="1"/>
    <col min="10236" max="10486" width="9.140625" style="815"/>
    <col min="10487" max="10487" width="8.85546875" style="815" customWidth="1"/>
    <col min="10488" max="10488" width="92.140625" style="815" bestFit="1" customWidth="1"/>
    <col min="10489" max="10491" width="19.140625" style="815" customWidth="1"/>
    <col min="10492" max="10742" width="9.140625" style="815"/>
    <col min="10743" max="10743" width="8.85546875" style="815" customWidth="1"/>
    <col min="10744" max="10744" width="92.140625" style="815" bestFit="1" customWidth="1"/>
    <col min="10745" max="10747" width="19.140625" style="815" customWidth="1"/>
    <col min="10748" max="10998" width="9.140625" style="815"/>
    <col min="10999" max="10999" width="8.85546875" style="815" customWidth="1"/>
    <col min="11000" max="11000" width="92.140625" style="815" bestFit="1" customWidth="1"/>
    <col min="11001" max="11003" width="19.140625" style="815" customWidth="1"/>
    <col min="11004" max="11254" width="9.140625" style="815"/>
    <col min="11255" max="11255" width="8.85546875" style="815" customWidth="1"/>
    <col min="11256" max="11256" width="92.140625" style="815" bestFit="1" customWidth="1"/>
    <col min="11257" max="11259" width="19.140625" style="815" customWidth="1"/>
    <col min="11260" max="11510" width="9.140625" style="815"/>
    <col min="11511" max="11511" width="8.85546875" style="815" customWidth="1"/>
    <col min="11512" max="11512" width="92.140625" style="815" bestFit="1" customWidth="1"/>
    <col min="11513" max="11515" width="19.140625" style="815" customWidth="1"/>
    <col min="11516" max="11766" width="9.140625" style="815"/>
    <col min="11767" max="11767" width="8.85546875" style="815" customWidth="1"/>
    <col min="11768" max="11768" width="92.140625" style="815" bestFit="1" customWidth="1"/>
    <col min="11769" max="11771" width="19.140625" style="815" customWidth="1"/>
    <col min="11772" max="12022" width="9.140625" style="815"/>
    <col min="12023" max="12023" width="8.85546875" style="815" customWidth="1"/>
    <col min="12024" max="12024" width="92.140625" style="815" bestFit="1" customWidth="1"/>
    <col min="12025" max="12027" width="19.140625" style="815" customWidth="1"/>
    <col min="12028" max="12278" width="9.140625" style="815"/>
    <col min="12279" max="12279" width="8.85546875" style="815" customWidth="1"/>
    <col min="12280" max="12280" width="92.140625" style="815" bestFit="1" customWidth="1"/>
    <col min="12281" max="12283" width="19.140625" style="815" customWidth="1"/>
    <col min="12284" max="12534" width="9.140625" style="815"/>
    <col min="12535" max="12535" width="8.85546875" style="815" customWidth="1"/>
    <col min="12536" max="12536" width="92.140625" style="815" bestFit="1" customWidth="1"/>
    <col min="12537" max="12539" width="19.140625" style="815" customWidth="1"/>
    <col min="12540" max="12790" width="9.140625" style="815"/>
    <col min="12791" max="12791" width="8.85546875" style="815" customWidth="1"/>
    <col min="12792" max="12792" width="92.140625" style="815" bestFit="1" customWidth="1"/>
    <col min="12793" max="12795" width="19.140625" style="815" customWidth="1"/>
    <col min="12796" max="13046" width="9.140625" style="815"/>
    <col min="13047" max="13047" width="8.85546875" style="815" customWidth="1"/>
    <col min="13048" max="13048" width="92.140625" style="815" bestFit="1" customWidth="1"/>
    <col min="13049" max="13051" width="19.140625" style="815" customWidth="1"/>
    <col min="13052" max="13302" width="9.140625" style="815"/>
    <col min="13303" max="13303" width="8.85546875" style="815" customWidth="1"/>
    <col min="13304" max="13304" width="92.140625" style="815" bestFit="1" customWidth="1"/>
    <col min="13305" max="13307" width="19.140625" style="815" customWidth="1"/>
    <col min="13308" max="13558" width="9.140625" style="815"/>
    <col min="13559" max="13559" width="8.85546875" style="815" customWidth="1"/>
    <col min="13560" max="13560" width="92.140625" style="815" bestFit="1" customWidth="1"/>
    <col min="13561" max="13563" width="19.140625" style="815" customWidth="1"/>
    <col min="13564" max="13814" width="9.140625" style="815"/>
    <col min="13815" max="13815" width="8.85546875" style="815" customWidth="1"/>
    <col min="13816" max="13816" width="92.140625" style="815" bestFit="1" customWidth="1"/>
    <col min="13817" max="13819" width="19.140625" style="815" customWidth="1"/>
    <col min="13820" max="14070" width="9.140625" style="815"/>
    <col min="14071" max="14071" width="8.85546875" style="815" customWidth="1"/>
    <col min="14072" max="14072" width="92.140625" style="815" bestFit="1" customWidth="1"/>
    <col min="14073" max="14075" width="19.140625" style="815" customWidth="1"/>
    <col min="14076" max="14326" width="9.140625" style="815"/>
    <col min="14327" max="14327" width="8.85546875" style="815" customWidth="1"/>
    <col min="14328" max="14328" width="92.140625" style="815" bestFit="1" customWidth="1"/>
    <col min="14329" max="14331" width="19.140625" style="815" customWidth="1"/>
    <col min="14332" max="14582" width="9.140625" style="815"/>
    <col min="14583" max="14583" width="8.85546875" style="815" customWidth="1"/>
    <col min="14584" max="14584" width="92.140625" style="815" bestFit="1" customWidth="1"/>
    <col min="14585" max="14587" width="19.140625" style="815" customWidth="1"/>
    <col min="14588" max="14838" width="9.140625" style="815"/>
    <col min="14839" max="14839" width="8.85546875" style="815" customWidth="1"/>
    <col min="14840" max="14840" width="92.140625" style="815" bestFit="1" customWidth="1"/>
    <col min="14841" max="14843" width="19.140625" style="815" customWidth="1"/>
    <col min="14844" max="15094" width="9.140625" style="815"/>
    <col min="15095" max="15095" width="8.85546875" style="815" customWidth="1"/>
    <col min="15096" max="15096" width="92.140625" style="815" bestFit="1" customWidth="1"/>
    <col min="15097" max="15099" width="19.140625" style="815" customWidth="1"/>
    <col min="15100" max="15350" width="9.140625" style="815"/>
    <col min="15351" max="15351" width="8.85546875" style="815" customWidth="1"/>
    <col min="15352" max="15352" width="92.140625" style="815" bestFit="1" customWidth="1"/>
    <col min="15353" max="15355" width="19.140625" style="815" customWidth="1"/>
    <col min="15356" max="15606" width="9.140625" style="815"/>
    <col min="15607" max="15607" width="8.85546875" style="815" customWidth="1"/>
    <col min="15608" max="15608" width="92.140625" style="815" bestFit="1" customWidth="1"/>
    <col min="15609" max="15611" width="19.140625" style="815" customWidth="1"/>
    <col min="15612" max="15862" width="9.140625" style="815"/>
    <col min="15863" max="15863" width="8.85546875" style="815" customWidth="1"/>
    <col min="15864" max="15864" width="92.140625" style="815" bestFit="1" customWidth="1"/>
    <col min="15865" max="15867" width="19.140625" style="815" customWidth="1"/>
    <col min="15868" max="16118" width="9.140625" style="815"/>
    <col min="16119" max="16119" width="8.85546875" style="815" customWidth="1"/>
    <col min="16120" max="16120" width="92.140625" style="815" bestFit="1" customWidth="1"/>
    <col min="16121" max="16123" width="19.140625" style="815" customWidth="1"/>
    <col min="16124" max="16384" width="9.140625" style="815"/>
  </cols>
  <sheetData>
    <row r="1" spans="1:10" ht="15.75">
      <c r="E1" s="153" t="s">
        <v>788</v>
      </c>
    </row>
    <row r="2" spans="1:10" s="1297" customFormat="1" ht="15.75">
      <c r="A2" s="1926" t="s">
        <v>1570</v>
      </c>
      <c r="B2" s="1927"/>
      <c r="C2" s="1927"/>
      <c r="D2" s="1927"/>
      <c r="E2" s="1927"/>
      <c r="I2" s="1573"/>
      <c r="J2" s="1757"/>
    </row>
    <row r="3" spans="1:10" s="1299" customFormat="1" ht="12.75" thickBot="1">
      <c r="A3" s="1298"/>
      <c r="E3" s="203" t="s">
        <v>458</v>
      </c>
      <c r="J3" s="672"/>
    </row>
    <row r="4" spans="1:10" s="1303" customFormat="1" ht="24">
      <c r="A4" s="1300" t="s">
        <v>1589</v>
      </c>
      <c r="B4" s="1301" t="s">
        <v>7</v>
      </c>
      <c r="C4" s="1301" t="s">
        <v>1590</v>
      </c>
      <c r="D4" s="1301" t="s">
        <v>1591</v>
      </c>
      <c r="E4" s="1302" t="s">
        <v>1592</v>
      </c>
      <c r="J4" s="1758"/>
    </row>
    <row r="5" spans="1:10" ht="12.75" thickBot="1">
      <c r="A5" s="1304">
        <v>2</v>
      </c>
      <c r="B5" s="1305">
        <v>3</v>
      </c>
      <c r="C5" s="1305">
        <v>4</v>
      </c>
      <c r="D5" s="1305">
        <v>5</v>
      </c>
      <c r="E5" s="1306">
        <v>6</v>
      </c>
    </row>
    <row r="6" spans="1:10">
      <c r="A6" s="1307" t="s">
        <v>1593</v>
      </c>
      <c r="B6" s="1308" t="s">
        <v>1594</v>
      </c>
      <c r="C6" s="1309">
        <v>749983</v>
      </c>
      <c r="D6" s="1309"/>
      <c r="E6" s="1310">
        <f>+C6+D6</f>
        <v>749983</v>
      </c>
      <c r="J6" s="118">
        <v>749982577</v>
      </c>
    </row>
    <row r="7" spans="1:10">
      <c r="A7" s="1311" t="s">
        <v>1595</v>
      </c>
      <c r="B7" s="1312" t="s">
        <v>1596</v>
      </c>
      <c r="C7" s="1313"/>
      <c r="D7" s="1313"/>
      <c r="E7" s="1314">
        <f t="shared" ref="E7:E19" si="0">+C7+D7</f>
        <v>0</v>
      </c>
      <c r="J7" s="118">
        <v>0</v>
      </c>
    </row>
    <row r="8" spans="1:10">
      <c r="A8" s="1311" t="s">
        <v>1597</v>
      </c>
      <c r="B8" s="1312" t="s">
        <v>1598</v>
      </c>
      <c r="C8" s="1313">
        <v>1016</v>
      </c>
      <c r="D8" s="1313"/>
      <c r="E8" s="1314">
        <f t="shared" si="0"/>
        <v>1016</v>
      </c>
      <c r="J8" s="118">
        <v>1015956</v>
      </c>
    </row>
    <row r="9" spans="1:10">
      <c r="A9" s="1311" t="s">
        <v>1599</v>
      </c>
      <c r="B9" s="1312" t="s">
        <v>1600</v>
      </c>
      <c r="C9" s="1313">
        <v>8157</v>
      </c>
      <c r="D9" s="1313"/>
      <c r="E9" s="1314">
        <f t="shared" si="0"/>
        <v>8157</v>
      </c>
      <c r="J9" s="118">
        <v>8157401</v>
      </c>
    </row>
    <row r="10" spans="1:10">
      <c r="A10" s="1311" t="s">
        <v>1601</v>
      </c>
      <c r="B10" s="1312" t="s">
        <v>1602</v>
      </c>
      <c r="C10" s="1313"/>
      <c r="D10" s="1313"/>
      <c r="E10" s="1314">
        <f t="shared" si="0"/>
        <v>0</v>
      </c>
      <c r="J10" s="118">
        <v>0</v>
      </c>
    </row>
    <row r="11" spans="1:10">
      <c r="A11" s="1311" t="s">
        <v>1603</v>
      </c>
      <c r="B11" s="1312" t="s">
        <v>1604</v>
      </c>
      <c r="C11" s="1313">
        <v>11601</v>
      </c>
      <c r="D11" s="1313"/>
      <c r="E11" s="1314">
        <f t="shared" si="0"/>
        <v>11601</v>
      </c>
      <c r="J11" s="118">
        <v>11600980</v>
      </c>
    </row>
    <row r="12" spans="1:10">
      <c r="A12" s="1311" t="s">
        <v>1605</v>
      </c>
      <c r="B12" s="1312" t="s">
        <v>1606</v>
      </c>
      <c r="C12" s="1313">
        <v>15599</v>
      </c>
      <c r="D12" s="1313"/>
      <c r="E12" s="1314">
        <f t="shared" si="0"/>
        <v>15599</v>
      </c>
      <c r="J12" s="118">
        <v>15598918</v>
      </c>
    </row>
    <row r="13" spans="1:10">
      <c r="A13" s="1311" t="s">
        <v>1607</v>
      </c>
      <c r="B13" s="1312" t="s">
        <v>1608</v>
      </c>
      <c r="C13" s="1313"/>
      <c r="D13" s="1313"/>
      <c r="E13" s="1314">
        <f t="shared" si="0"/>
        <v>0</v>
      </c>
      <c r="J13" s="118">
        <v>0</v>
      </c>
    </row>
    <row r="14" spans="1:10">
      <c r="A14" s="1311" t="s">
        <v>1609</v>
      </c>
      <c r="B14" s="1312" t="s">
        <v>1610</v>
      </c>
      <c r="C14" s="1313">
        <v>5187</v>
      </c>
      <c r="D14" s="1313"/>
      <c r="E14" s="1314">
        <f t="shared" si="0"/>
        <v>5187</v>
      </c>
      <c r="J14" s="118">
        <v>5186790</v>
      </c>
    </row>
    <row r="15" spans="1:10">
      <c r="A15" s="1311" t="s">
        <v>1611</v>
      </c>
      <c r="B15" s="1312" t="s">
        <v>1612</v>
      </c>
      <c r="C15" s="1313"/>
      <c r="D15" s="1313"/>
      <c r="E15" s="1314">
        <f t="shared" si="0"/>
        <v>0</v>
      </c>
      <c r="J15" s="118">
        <v>0</v>
      </c>
    </row>
    <row r="16" spans="1:10">
      <c r="A16" s="1311" t="s">
        <v>1613</v>
      </c>
      <c r="B16" s="1312" t="s">
        <v>1614</v>
      </c>
      <c r="C16" s="1313"/>
      <c r="D16" s="1313"/>
      <c r="E16" s="1314">
        <f t="shared" si="0"/>
        <v>0</v>
      </c>
      <c r="J16" s="118">
        <v>0</v>
      </c>
    </row>
    <row r="17" spans="1:10">
      <c r="A17" s="1311" t="s">
        <v>1615</v>
      </c>
      <c r="B17" s="1312" t="s">
        <v>1616</v>
      </c>
      <c r="C17" s="1313"/>
      <c r="D17" s="1313"/>
      <c r="E17" s="1314">
        <f t="shared" si="0"/>
        <v>0</v>
      </c>
      <c r="J17" s="118">
        <v>0</v>
      </c>
    </row>
    <row r="18" spans="1:10">
      <c r="A18" s="1311" t="s">
        <v>1617</v>
      </c>
      <c r="B18" s="1312" t="s">
        <v>1618</v>
      </c>
      <c r="C18" s="1313">
        <v>26121</v>
      </c>
      <c r="D18" s="1313"/>
      <c r="E18" s="1314">
        <f t="shared" si="0"/>
        <v>26121</v>
      </c>
      <c r="J18" s="118">
        <v>26120842</v>
      </c>
    </row>
    <row r="19" spans="1:10" ht="12.75" thickBot="1">
      <c r="A19" s="1304" t="s">
        <v>1619</v>
      </c>
      <c r="B19" s="1315" t="s">
        <v>1620</v>
      </c>
      <c r="C19" s="1316"/>
      <c r="D19" s="1316"/>
      <c r="E19" s="1317">
        <f t="shared" si="0"/>
        <v>0</v>
      </c>
      <c r="J19" s="118">
        <v>0</v>
      </c>
    </row>
    <row r="20" spans="1:10" ht="12.75" thickBot="1">
      <c r="A20" s="1318" t="s">
        <v>1621</v>
      </c>
      <c r="B20" s="1319" t="s">
        <v>1622</v>
      </c>
      <c r="C20" s="1320">
        <f>SUM(C6:C18)</f>
        <v>817664</v>
      </c>
      <c r="D20" s="1320">
        <f>SUM(D6:D18)</f>
        <v>0</v>
      </c>
      <c r="E20" s="1321">
        <f>SUM(E6:E18)</f>
        <v>817664</v>
      </c>
      <c r="G20" s="118">
        <f>+'1.mell._Össz_Mérleg2019'!E112</f>
        <v>817664</v>
      </c>
      <c r="H20" s="118">
        <f t="shared" ref="H20" si="1">+G20-E20</f>
        <v>0</v>
      </c>
      <c r="I20" s="118"/>
      <c r="J20" s="118">
        <v>817663464</v>
      </c>
    </row>
    <row r="21" spans="1:10">
      <c r="A21" s="1322" t="s">
        <v>1623</v>
      </c>
      <c r="B21" s="1323" t="s">
        <v>1624</v>
      </c>
      <c r="C21" s="1324">
        <v>32263</v>
      </c>
      <c r="D21" s="1324"/>
      <c r="E21" s="1325">
        <f>+C21+D21</f>
        <v>32263</v>
      </c>
      <c r="J21" s="118">
        <v>32262813</v>
      </c>
    </row>
    <row r="22" spans="1:10">
      <c r="A22" s="1311" t="s">
        <v>1625</v>
      </c>
      <c r="B22" s="1312" t="s">
        <v>1626</v>
      </c>
      <c r="C22" s="1313">
        <v>56063</v>
      </c>
      <c r="D22" s="1313"/>
      <c r="E22" s="1314">
        <f>+C22+D22</f>
        <v>56063</v>
      </c>
      <c r="J22" s="118">
        <v>56063132</v>
      </c>
    </row>
    <row r="23" spans="1:10" ht="12.75" thickBot="1">
      <c r="A23" s="1304" t="s">
        <v>1627</v>
      </c>
      <c r="B23" s="1315" t="s">
        <v>1628</v>
      </c>
      <c r="C23" s="1316">
        <f>9917-1</f>
        <v>9916</v>
      </c>
      <c r="D23" s="1316"/>
      <c r="E23" s="1317">
        <f>+C23+D23</f>
        <v>9916</v>
      </c>
      <c r="J23" s="118">
        <v>9916685</v>
      </c>
    </row>
    <row r="24" spans="1:10" ht="12.75" thickBot="1">
      <c r="A24" s="1318" t="s">
        <v>1629</v>
      </c>
      <c r="B24" s="1319" t="s">
        <v>1630</v>
      </c>
      <c r="C24" s="1320">
        <f>SUM(C21:C23)</f>
        <v>98242</v>
      </c>
      <c r="D24" s="1320">
        <f>SUM(D21:D23)</f>
        <v>0</v>
      </c>
      <c r="E24" s="1321">
        <f>SUM(E21:E23)</f>
        <v>98242</v>
      </c>
      <c r="G24" s="118">
        <f>+'1.mell._Össz_Mérleg2019'!E113</f>
        <v>98242</v>
      </c>
      <c r="H24" s="118">
        <f t="shared" ref="H24" si="2">+G24-E24</f>
        <v>0</v>
      </c>
      <c r="I24" s="118"/>
      <c r="J24" s="118">
        <v>98242630</v>
      </c>
    </row>
    <row r="25" spans="1:10" ht="12.75" thickBot="1">
      <c r="A25" s="1326" t="s">
        <v>1631</v>
      </c>
      <c r="B25" s="1327" t="s">
        <v>1632</v>
      </c>
      <c r="C25" s="1328">
        <f>+C20+C24</f>
        <v>915906</v>
      </c>
      <c r="D25" s="1328">
        <f>+D20+D24</f>
        <v>0</v>
      </c>
      <c r="E25" s="1329">
        <f>+E20+E24</f>
        <v>915906</v>
      </c>
      <c r="J25" s="118">
        <v>915906094</v>
      </c>
    </row>
    <row r="26" spans="1:10" ht="24.75" thickBot="1">
      <c r="A26" s="1318" t="s">
        <v>1633</v>
      </c>
      <c r="B26" s="1319" t="s">
        <v>1634</v>
      </c>
      <c r="C26" s="1320">
        <f>SUM(C27:C32)</f>
        <v>169543</v>
      </c>
      <c r="D26" s="1320">
        <f>SUM(D27:D32)</f>
        <v>0</v>
      </c>
      <c r="E26" s="1321">
        <f>SUM(E27:E32)</f>
        <v>169543</v>
      </c>
      <c r="G26" s="118">
        <f>+'1.mell._Össz_Mérleg2019'!E114</f>
        <v>169543</v>
      </c>
      <c r="H26" s="118">
        <f t="shared" ref="H26" si="3">+G26-E26</f>
        <v>0</v>
      </c>
      <c r="I26" s="118"/>
      <c r="J26" s="118">
        <v>169542436</v>
      </c>
    </row>
    <row r="27" spans="1:10">
      <c r="A27" s="1322" t="s">
        <v>1635</v>
      </c>
      <c r="B27" s="1323" t="s">
        <v>1636</v>
      </c>
      <c r="C27" s="1324">
        <v>155426</v>
      </c>
      <c r="D27" s="1324"/>
      <c r="E27" s="1325">
        <f t="shared" ref="E27:E35" si="4">+C27+D27</f>
        <v>155426</v>
      </c>
      <c r="J27" s="118">
        <v>155426165</v>
      </c>
    </row>
    <row r="28" spans="1:10">
      <c r="A28" s="1311" t="s">
        <v>1637</v>
      </c>
      <c r="B28" s="1312" t="s">
        <v>1638</v>
      </c>
      <c r="C28" s="1313">
        <v>7132</v>
      </c>
      <c r="D28" s="1313"/>
      <c r="E28" s="1314">
        <f t="shared" si="4"/>
        <v>7132</v>
      </c>
      <c r="J28" s="118">
        <v>7132000</v>
      </c>
    </row>
    <row r="29" spans="1:10">
      <c r="A29" s="1311" t="s">
        <v>1639</v>
      </c>
      <c r="B29" s="1312" t="s">
        <v>1640</v>
      </c>
      <c r="C29" s="1313">
        <v>1170</v>
      </c>
      <c r="D29" s="1313"/>
      <c r="E29" s="1314">
        <f t="shared" si="4"/>
        <v>1170</v>
      </c>
      <c r="J29" s="118">
        <v>1169543</v>
      </c>
    </row>
    <row r="30" spans="1:10">
      <c r="A30" s="1311" t="s">
        <v>1641</v>
      </c>
      <c r="B30" s="1312" t="s">
        <v>1642</v>
      </c>
      <c r="C30" s="1313">
        <v>3196</v>
      </c>
      <c r="D30" s="1313"/>
      <c r="E30" s="1314">
        <f t="shared" si="4"/>
        <v>3196</v>
      </c>
      <c r="J30" s="118">
        <v>3196001</v>
      </c>
    </row>
    <row r="31" spans="1:10">
      <c r="A31" s="1311" t="s">
        <v>1643</v>
      </c>
      <c r="B31" s="1312" t="s">
        <v>1644</v>
      </c>
      <c r="C31" s="1313"/>
      <c r="D31" s="1313"/>
      <c r="E31" s="1314">
        <f t="shared" si="4"/>
        <v>0</v>
      </c>
      <c r="J31" s="118">
        <v>0</v>
      </c>
    </row>
    <row r="32" spans="1:10">
      <c r="A32" s="1311" t="s">
        <v>1645</v>
      </c>
      <c r="B32" s="1312" t="s">
        <v>1646</v>
      </c>
      <c r="C32" s="1313">
        <v>2619</v>
      </c>
      <c r="D32" s="1313"/>
      <c r="E32" s="1314">
        <f t="shared" si="4"/>
        <v>2619</v>
      </c>
      <c r="J32" s="118">
        <v>2618727</v>
      </c>
    </row>
    <row r="33" spans="1:10">
      <c r="A33" s="1311" t="s">
        <v>1647</v>
      </c>
      <c r="B33" s="1312" t="s">
        <v>1648</v>
      </c>
      <c r="C33" s="1313">
        <v>15870</v>
      </c>
      <c r="D33" s="1313"/>
      <c r="E33" s="1314">
        <f t="shared" si="4"/>
        <v>15870</v>
      </c>
      <c r="J33" s="118">
        <v>15870447</v>
      </c>
    </row>
    <row r="34" spans="1:10">
      <c r="A34" s="1311" t="s">
        <v>1649</v>
      </c>
      <c r="B34" s="1312" t="s">
        <v>1650</v>
      </c>
      <c r="C34" s="1313">
        <v>60623</v>
      </c>
      <c r="D34" s="1313"/>
      <c r="E34" s="1314">
        <f t="shared" si="4"/>
        <v>60623</v>
      </c>
      <c r="J34" s="118">
        <v>60622757</v>
      </c>
    </row>
    <row r="35" spans="1:10" ht="12.75" thickBot="1">
      <c r="A35" s="1304" t="s">
        <v>1651</v>
      </c>
      <c r="B35" s="1315" t="s">
        <v>1652</v>
      </c>
      <c r="C35" s="1316"/>
      <c r="D35" s="1316"/>
      <c r="E35" s="1317">
        <f t="shared" si="4"/>
        <v>0</v>
      </c>
      <c r="J35" s="118">
        <v>0</v>
      </c>
    </row>
    <row r="36" spans="1:10" ht="12.75" thickBot="1">
      <c r="A36" s="1318" t="s">
        <v>1653</v>
      </c>
      <c r="B36" s="1319" t="s">
        <v>1654</v>
      </c>
      <c r="C36" s="1320">
        <f>SUM(C33:C35)</f>
        <v>76493</v>
      </c>
      <c r="D36" s="1320">
        <f>SUM(D33:D35)</f>
        <v>0</v>
      </c>
      <c r="E36" s="1321">
        <f>SUM(E33:E35)</f>
        <v>76493</v>
      </c>
      <c r="G36" s="118">
        <f>+'1.mell._Össz_Mérleg2019'!E118</f>
        <v>76493</v>
      </c>
      <c r="H36" s="118">
        <f t="shared" ref="H36" si="5">+G36-E36</f>
        <v>0</v>
      </c>
      <c r="I36" s="118"/>
      <c r="J36" s="118">
        <v>76493204</v>
      </c>
    </row>
    <row r="37" spans="1:10">
      <c r="A37" s="1322" t="s">
        <v>1655</v>
      </c>
      <c r="B37" s="1323" t="s">
        <v>1656</v>
      </c>
      <c r="C37" s="1324">
        <v>21664</v>
      </c>
      <c r="D37" s="1324"/>
      <c r="E37" s="1325">
        <f>+C37+D37</f>
        <v>21664</v>
      </c>
      <c r="J37" s="118">
        <v>21664159</v>
      </c>
    </row>
    <row r="38" spans="1:10" ht="12.75" thickBot="1">
      <c r="A38" s="1304" t="s">
        <v>1657</v>
      </c>
      <c r="B38" s="1315" t="s">
        <v>1658</v>
      </c>
      <c r="C38" s="1316">
        <v>3480</v>
      </c>
      <c r="D38" s="1316"/>
      <c r="E38" s="1317">
        <f>+C38+D38</f>
        <v>3480</v>
      </c>
      <c r="J38" s="118">
        <v>3479691</v>
      </c>
    </row>
    <row r="39" spans="1:10" ht="12.75" thickBot="1">
      <c r="A39" s="1318" t="s">
        <v>1659</v>
      </c>
      <c r="B39" s="1319" t="s">
        <v>1660</v>
      </c>
      <c r="C39" s="1320">
        <f>SUM(C37:C38)</f>
        <v>25144</v>
      </c>
      <c r="D39" s="1320">
        <f>SUM(D37:D38)</f>
        <v>0</v>
      </c>
      <c r="E39" s="1321">
        <f>SUM(E37:E38)</f>
        <v>25144</v>
      </c>
      <c r="G39" s="118">
        <f>+'1.mell._Össz_Mérleg2019'!E119</f>
        <v>25144</v>
      </c>
      <c r="H39" s="118">
        <f t="shared" ref="H39" si="6">+G39-E39</f>
        <v>0</v>
      </c>
      <c r="I39" s="118"/>
      <c r="J39" s="118">
        <v>25143850</v>
      </c>
    </row>
    <row r="40" spans="1:10">
      <c r="A40" s="1322" t="s">
        <v>1661</v>
      </c>
      <c r="B40" s="1323" t="s">
        <v>1662</v>
      </c>
      <c r="C40" s="1324">
        <v>43710</v>
      </c>
      <c r="D40" s="1324"/>
      <c r="E40" s="1325">
        <f t="shared" ref="E40:E49" si="7">+C40+D40</f>
        <v>43710</v>
      </c>
      <c r="J40" s="118">
        <v>43710251</v>
      </c>
    </row>
    <row r="41" spans="1:10">
      <c r="A41" s="1311" t="s">
        <v>1663</v>
      </c>
      <c r="B41" s="1312" t="s">
        <v>1664</v>
      </c>
      <c r="C41" s="1313">
        <v>78495</v>
      </c>
      <c r="D41" s="1313"/>
      <c r="E41" s="1314">
        <f t="shared" si="7"/>
        <v>78495</v>
      </c>
      <c r="J41" s="118">
        <v>78495002</v>
      </c>
    </row>
    <row r="42" spans="1:10">
      <c r="A42" s="1311" t="s">
        <v>1665</v>
      </c>
      <c r="B42" s="1312" t="s">
        <v>1666</v>
      </c>
      <c r="C42" s="1313">
        <v>12520</v>
      </c>
      <c r="D42" s="1313"/>
      <c r="E42" s="1314">
        <f t="shared" si="7"/>
        <v>12520</v>
      </c>
      <c r="J42" s="118">
        <v>12520213</v>
      </c>
    </row>
    <row r="43" spans="1:10">
      <c r="A43" s="1311" t="s">
        <v>1667</v>
      </c>
      <c r="B43" s="1312" t="s">
        <v>1668</v>
      </c>
      <c r="C43" s="1313"/>
      <c r="D43" s="1313"/>
      <c r="E43" s="1314">
        <f t="shared" si="7"/>
        <v>0</v>
      </c>
      <c r="J43" s="118">
        <v>0</v>
      </c>
    </row>
    <row r="44" spans="1:10">
      <c r="A44" s="1311" t="s">
        <v>1669</v>
      </c>
      <c r="B44" s="1312" t="s">
        <v>1670</v>
      </c>
      <c r="C44" s="1313">
        <v>41838</v>
      </c>
      <c r="D44" s="1313"/>
      <c r="E44" s="1314">
        <f t="shared" si="7"/>
        <v>41838</v>
      </c>
      <c r="J44" s="118">
        <v>41837643</v>
      </c>
    </row>
    <row r="45" spans="1:10">
      <c r="A45" s="1311" t="s">
        <v>1671</v>
      </c>
      <c r="B45" s="1312" t="s">
        <v>1672</v>
      </c>
      <c r="C45" s="1313">
        <v>6926</v>
      </c>
      <c r="D45" s="1313"/>
      <c r="E45" s="1314">
        <f t="shared" si="7"/>
        <v>6926</v>
      </c>
      <c r="J45" s="118">
        <v>6926166</v>
      </c>
    </row>
    <row r="46" spans="1:10">
      <c r="A46" s="1311" t="s">
        <v>1673</v>
      </c>
      <c r="B46" s="1312" t="s">
        <v>1674</v>
      </c>
      <c r="C46" s="1313">
        <v>1306</v>
      </c>
      <c r="D46" s="1313"/>
      <c r="E46" s="1314">
        <f t="shared" si="7"/>
        <v>1306</v>
      </c>
      <c r="J46" s="118">
        <v>1305557</v>
      </c>
    </row>
    <row r="47" spans="1:10">
      <c r="A47" s="1311" t="s">
        <v>1675</v>
      </c>
      <c r="B47" s="1312" t="s">
        <v>1676</v>
      </c>
      <c r="C47" s="1313">
        <v>13775</v>
      </c>
      <c r="D47" s="1313"/>
      <c r="E47" s="1314">
        <f t="shared" si="7"/>
        <v>13775</v>
      </c>
      <c r="J47" s="118">
        <v>13774808</v>
      </c>
    </row>
    <row r="48" spans="1:10">
      <c r="A48" s="1304" t="s">
        <v>1677</v>
      </c>
      <c r="B48" s="1315" t="s">
        <v>1678</v>
      </c>
      <c r="C48" s="1316">
        <v>232919</v>
      </c>
      <c r="D48" s="1316"/>
      <c r="E48" s="1314">
        <f t="shared" si="7"/>
        <v>232919</v>
      </c>
      <c r="J48" s="118">
        <v>232919465</v>
      </c>
    </row>
    <row r="49" spans="1:10" ht="12.75" thickBot="1">
      <c r="A49" s="1304" t="s">
        <v>1679</v>
      </c>
      <c r="B49" s="1315" t="s">
        <v>1680</v>
      </c>
      <c r="C49" s="1316">
        <v>2001</v>
      </c>
      <c r="D49" s="1316"/>
      <c r="E49" s="1317">
        <f t="shared" si="7"/>
        <v>2001</v>
      </c>
      <c r="J49" s="118">
        <v>2000718</v>
      </c>
    </row>
    <row r="50" spans="1:10" ht="12.75" thickBot="1">
      <c r="A50" s="1318" t="s">
        <v>1681</v>
      </c>
      <c r="B50" s="1319" t="s">
        <v>1682</v>
      </c>
      <c r="C50" s="1320">
        <f>SUM(C40:C49)-C43-C46-C49</f>
        <v>430183</v>
      </c>
      <c r="D50" s="1320">
        <f>SUM(D40:D49)-D43-D46-D49</f>
        <v>0</v>
      </c>
      <c r="E50" s="1321">
        <f>SUM(E40:E49)-E43-E46-E49</f>
        <v>430183</v>
      </c>
      <c r="G50" s="118">
        <f>+'1.mell._Össz_Mérleg2019'!E120</f>
        <v>430183</v>
      </c>
      <c r="H50" s="118">
        <f t="shared" ref="H50" si="8">+G50-E50</f>
        <v>0</v>
      </c>
      <c r="I50" s="118"/>
      <c r="J50" s="118">
        <v>430183548</v>
      </c>
    </row>
    <row r="51" spans="1:10">
      <c r="A51" s="1322" t="s">
        <v>1683</v>
      </c>
      <c r="B51" s="1323" t="s">
        <v>1684</v>
      </c>
      <c r="C51" s="1324">
        <v>2351</v>
      </c>
      <c r="D51" s="1324"/>
      <c r="E51" s="1325">
        <f>+C51+D51</f>
        <v>2351</v>
      </c>
      <c r="J51" s="118">
        <v>2351119</v>
      </c>
    </row>
    <row r="52" spans="1:10" ht="12.75" thickBot="1">
      <c r="A52" s="1304" t="s">
        <v>1685</v>
      </c>
      <c r="B52" s="1315" t="s">
        <v>1686</v>
      </c>
      <c r="C52" s="1316">
        <v>3903</v>
      </c>
      <c r="D52" s="1316"/>
      <c r="E52" s="1317">
        <f>+C52+D52</f>
        <v>3903</v>
      </c>
      <c r="J52" s="118">
        <v>3903378</v>
      </c>
    </row>
    <row r="53" spans="1:10" ht="12.75" thickBot="1">
      <c r="A53" s="1318" t="s">
        <v>1687</v>
      </c>
      <c r="B53" s="1319" t="s">
        <v>1688</v>
      </c>
      <c r="C53" s="1320">
        <f>SUM(C51:C52)</f>
        <v>6254</v>
      </c>
      <c r="D53" s="1320">
        <f>SUM(D51:D52)</f>
        <v>0</v>
      </c>
      <c r="E53" s="1321">
        <f>SUM(E51:E52)</f>
        <v>6254</v>
      </c>
      <c r="G53" s="118">
        <f>+'1.mell._Össz_Mérleg2019'!E121</f>
        <v>6254</v>
      </c>
      <c r="H53" s="118">
        <f t="shared" ref="H53" si="9">+G53-E53</f>
        <v>0</v>
      </c>
      <c r="I53" s="118"/>
      <c r="J53" s="118">
        <v>6254497</v>
      </c>
    </row>
    <row r="54" spans="1:10">
      <c r="A54" s="1322" t="s">
        <v>1689</v>
      </c>
      <c r="B54" s="1323" t="s">
        <v>1690</v>
      </c>
      <c r="C54" s="1324">
        <v>107598</v>
      </c>
      <c r="D54" s="1324"/>
      <c r="E54" s="1325">
        <f t="shared" ref="E54:E63" si="10">+C54+D54</f>
        <v>107598</v>
      </c>
      <c r="J54" s="118">
        <v>107598421</v>
      </c>
    </row>
    <row r="55" spans="1:10">
      <c r="A55" s="1311" t="s">
        <v>1691</v>
      </c>
      <c r="B55" s="1312" t="s">
        <v>1692</v>
      </c>
      <c r="C55" s="1313">
        <v>85520</v>
      </c>
      <c r="D55" s="1313"/>
      <c r="E55" s="1314">
        <f t="shared" si="10"/>
        <v>85520</v>
      </c>
      <c r="J55" s="118">
        <v>85520000</v>
      </c>
    </row>
    <row r="56" spans="1:10">
      <c r="A56" s="1311" t="s">
        <v>1693</v>
      </c>
      <c r="B56" s="1312" t="s">
        <v>1694</v>
      </c>
      <c r="C56" s="1313">
        <v>1555</v>
      </c>
      <c r="D56" s="1313"/>
      <c r="E56" s="1314">
        <f t="shared" si="10"/>
        <v>1555</v>
      </c>
      <c r="J56" s="118">
        <v>1554932</v>
      </c>
    </row>
    <row r="57" spans="1:10">
      <c r="A57" s="1311" t="s">
        <v>1695</v>
      </c>
      <c r="B57" s="1312" t="s">
        <v>1696</v>
      </c>
      <c r="C57" s="1313"/>
      <c r="D57" s="1313"/>
      <c r="E57" s="1314">
        <f t="shared" si="10"/>
        <v>0</v>
      </c>
      <c r="J57" s="118">
        <v>0</v>
      </c>
    </row>
    <row r="58" spans="1:10">
      <c r="A58" s="1311" t="s">
        <v>1697</v>
      </c>
      <c r="B58" s="1312" t="s">
        <v>1698</v>
      </c>
      <c r="C58" s="1313"/>
      <c r="D58" s="1313"/>
      <c r="E58" s="1314">
        <f t="shared" si="10"/>
        <v>0</v>
      </c>
      <c r="J58" s="118">
        <v>0</v>
      </c>
    </row>
    <row r="59" spans="1:10">
      <c r="A59" s="1311" t="s">
        <v>1699</v>
      </c>
      <c r="B59" s="1312" t="s">
        <v>1700</v>
      </c>
      <c r="C59" s="1313">
        <v>1</v>
      </c>
      <c r="D59" s="1313"/>
      <c r="E59" s="1314">
        <f t="shared" si="10"/>
        <v>1</v>
      </c>
      <c r="J59" s="118">
        <v>1357</v>
      </c>
    </row>
    <row r="60" spans="1:10">
      <c r="A60" s="1311" t="s">
        <v>1701</v>
      </c>
      <c r="B60" s="1312" t="s">
        <v>1702</v>
      </c>
      <c r="C60" s="1313"/>
      <c r="D60" s="1313"/>
      <c r="E60" s="1314">
        <f t="shared" si="10"/>
        <v>0</v>
      </c>
      <c r="J60" s="118">
        <v>0</v>
      </c>
    </row>
    <row r="61" spans="1:10">
      <c r="A61" s="1311" t="s">
        <v>1703</v>
      </c>
      <c r="B61" s="1312" t="s">
        <v>1704</v>
      </c>
      <c r="C61" s="1313"/>
      <c r="D61" s="1313"/>
      <c r="E61" s="1314">
        <f t="shared" si="10"/>
        <v>0</v>
      </c>
      <c r="J61" s="118">
        <v>0</v>
      </c>
    </row>
    <row r="62" spans="1:10">
      <c r="A62" s="1311" t="s">
        <v>1705</v>
      </c>
      <c r="B62" s="1312" t="s">
        <v>1706</v>
      </c>
      <c r="C62" s="1313"/>
      <c r="D62" s="1313"/>
      <c r="E62" s="1314">
        <f t="shared" si="10"/>
        <v>0</v>
      </c>
      <c r="J62" s="118">
        <v>0</v>
      </c>
    </row>
    <row r="63" spans="1:10" ht="12.75" thickBot="1">
      <c r="A63" s="1304" t="s">
        <v>1707</v>
      </c>
      <c r="B63" s="1315" t="s">
        <v>1708</v>
      </c>
      <c r="C63" s="1316">
        <v>12938</v>
      </c>
      <c r="D63" s="1316"/>
      <c r="E63" s="1317">
        <f t="shared" si="10"/>
        <v>12938</v>
      </c>
      <c r="J63" s="118">
        <v>12937692</v>
      </c>
    </row>
    <row r="64" spans="1:10" ht="12.75" thickBot="1">
      <c r="A64" s="1318" t="s">
        <v>1709</v>
      </c>
      <c r="B64" s="1319" t="s">
        <v>1710</v>
      </c>
      <c r="C64" s="1320">
        <f>+C54+C55+C56+C59+C63</f>
        <v>207612</v>
      </c>
      <c r="D64" s="1320">
        <f>+D54+D55+D56+D59+D63</f>
        <v>0</v>
      </c>
      <c r="E64" s="1321">
        <f>+E54+E55+E56+E59+E63</f>
        <v>207612</v>
      </c>
      <c r="G64" s="118">
        <f>+'1.mell._Össz_Mérleg2019'!E122</f>
        <v>207612</v>
      </c>
      <c r="H64" s="118">
        <f t="shared" ref="H64" si="11">+G64-E64</f>
        <v>0</v>
      </c>
      <c r="I64" s="118"/>
      <c r="J64" s="118">
        <v>207612402</v>
      </c>
    </row>
    <row r="65" spans="1:10" ht="12.75" thickBot="1">
      <c r="A65" s="1318" t="s">
        <v>1711</v>
      </c>
      <c r="B65" s="1319" t="s">
        <v>1712</v>
      </c>
      <c r="C65" s="1320">
        <f>+C36+C39+C50+C53+C64</f>
        <v>745686</v>
      </c>
      <c r="D65" s="1320">
        <f>+D36+D39+D50+D53+D64</f>
        <v>0</v>
      </c>
      <c r="E65" s="1321">
        <f>+E36+E39+E50+E53+E64</f>
        <v>745686</v>
      </c>
      <c r="G65" s="118"/>
      <c r="J65" s="118">
        <v>745687501</v>
      </c>
    </row>
    <row r="66" spans="1:10" s="810" customFormat="1" ht="12.75" thickBot="1">
      <c r="A66" s="1326" t="s">
        <v>1713</v>
      </c>
      <c r="B66" s="1327" t="s">
        <v>134</v>
      </c>
      <c r="C66" s="1328"/>
      <c r="D66" s="1328"/>
      <c r="E66" s="1329">
        <f>+C66+D66</f>
        <v>0</v>
      </c>
      <c r="G66" s="118">
        <f>+'1.mell._Össz_Mérleg2019'!E124</f>
        <v>0</v>
      </c>
      <c r="H66" s="118">
        <f t="shared" ref="H66:H67" si="12">+G66-E66</f>
        <v>0</v>
      </c>
      <c r="I66" s="118"/>
      <c r="J66" s="119">
        <v>0</v>
      </c>
    </row>
    <row r="67" spans="1:10" s="810" customFormat="1" ht="12.75" thickBot="1">
      <c r="A67" s="1318" t="s">
        <v>1714</v>
      </c>
      <c r="B67" s="1319" t="s">
        <v>1715</v>
      </c>
      <c r="C67" s="1320">
        <f>SUM(C68:C77)</f>
        <v>0</v>
      </c>
      <c r="D67" s="1320">
        <f>SUM(D68:D77)</f>
        <v>0</v>
      </c>
      <c r="E67" s="1321">
        <f>SUM(E68:E77)</f>
        <v>0</v>
      </c>
      <c r="G67" s="118">
        <f>+'1.mell._Össz_Mérleg2019'!E125</f>
        <v>0</v>
      </c>
      <c r="H67" s="118">
        <f t="shared" si="12"/>
        <v>0</v>
      </c>
      <c r="I67" s="118"/>
      <c r="J67" s="119">
        <v>0</v>
      </c>
    </row>
    <row r="68" spans="1:10">
      <c r="A68" s="1322" t="s">
        <v>1716</v>
      </c>
      <c r="B68" s="1323" t="s">
        <v>1717</v>
      </c>
      <c r="C68" s="1324"/>
      <c r="D68" s="1324"/>
      <c r="E68" s="1325">
        <f t="shared" ref="E68:E77" si="13">+C68+D68</f>
        <v>0</v>
      </c>
      <c r="J68" s="118">
        <v>0</v>
      </c>
    </row>
    <row r="69" spans="1:10">
      <c r="A69" s="1311" t="s">
        <v>1718</v>
      </c>
      <c r="B69" s="1312" t="s">
        <v>1719</v>
      </c>
      <c r="C69" s="1313"/>
      <c r="D69" s="1313"/>
      <c r="E69" s="1314">
        <f t="shared" si="13"/>
        <v>0</v>
      </c>
      <c r="J69" s="118">
        <v>0</v>
      </c>
    </row>
    <row r="70" spans="1:10">
      <c r="A70" s="1311" t="s">
        <v>1720</v>
      </c>
      <c r="B70" s="1312" t="s">
        <v>1721</v>
      </c>
      <c r="C70" s="1313"/>
      <c r="D70" s="1313"/>
      <c r="E70" s="1314">
        <f t="shared" si="13"/>
        <v>0</v>
      </c>
      <c r="J70" s="118">
        <v>0</v>
      </c>
    </row>
    <row r="71" spans="1:10">
      <c r="A71" s="1311" t="s">
        <v>1722</v>
      </c>
      <c r="B71" s="1312" t="s">
        <v>1723</v>
      </c>
      <c r="C71" s="1313"/>
      <c r="D71" s="1313"/>
      <c r="E71" s="1314">
        <f t="shared" si="13"/>
        <v>0</v>
      </c>
      <c r="J71" s="118">
        <v>0</v>
      </c>
    </row>
    <row r="72" spans="1:10">
      <c r="A72" s="1311" t="s">
        <v>1724</v>
      </c>
      <c r="B72" s="1312" t="s">
        <v>1725</v>
      </c>
      <c r="C72" s="1313"/>
      <c r="D72" s="1313"/>
      <c r="E72" s="1314">
        <f t="shared" si="13"/>
        <v>0</v>
      </c>
      <c r="J72" s="118">
        <v>0</v>
      </c>
    </row>
    <row r="73" spans="1:10">
      <c r="A73" s="1311" t="s">
        <v>1726</v>
      </c>
      <c r="B73" s="1312" t="s">
        <v>1727</v>
      </c>
      <c r="C73" s="1313"/>
      <c r="D73" s="1313"/>
      <c r="E73" s="1314">
        <f t="shared" si="13"/>
        <v>0</v>
      </c>
      <c r="J73" s="118">
        <v>0</v>
      </c>
    </row>
    <row r="74" spans="1:10">
      <c r="A74" s="1311" t="s">
        <v>1728</v>
      </c>
      <c r="B74" s="1312" t="s">
        <v>1729</v>
      </c>
      <c r="C74" s="1313"/>
      <c r="D74" s="1313"/>
      <c r="E74" s="1314">
        <f t="shared" si="13"/>
        <v>0</v>
      </c>
      <c r="J74" s="118">
        <v>0</v>
      </c>
    </row>
    <row r="75" spans="1:10">
      <c r="A75" s="1311" t="s">
        <v>1730</v>
      </c>
      <c r="B75" s="1312" t="s">
        <v>1731</v>
      </c>
      <c r="C75" s="1313"/>
      <c r="D75" s="1313"/>
      <c r="E75" s="1314">
        <f t="shared" si="13"/>
        <v>0</v>
      </c>
      <c r="J75" s="118">
        <v>0</v>
      </c>
    </row>
    <row r="76" spans="1:10">
      <c r="A76" s="1311" t="s">
        <v>1732</v>
      </c>
      <c r="B76" s="1312" t="s">
        <v>1733</v>
      </c>
      <c r="C76" s="1313"/>
      <c r="D76" s="1313"/>
      <c r="E76" s="1314">
        <f t="shared" si="13"/>
        <v>0</v>
      </c>
      <c r="J76" s="118">
        <v>0</v>
      </c>
    </row>
    <row r="77" spans="1:10" ht="12.75" thickBot="1">
      <c r="A77" s="1311" t="s">
        <v>1734</v>
      </c>
      <c r="B77" s="1312" t="s">
        <v>1735</v>
      </c>
      <c r="C77" s="1313"/>
      <c r="D77" s="1313"/>
      <c r="E77" s="1314">
        <f t="shared" si="13"/>
        <v>0</v>
      </c>
      <c r="J77" s="118">
        <v>0</v>
      </c>
    </row>
    <row r="78" spans="1:10" ht="12.75" thickBot="1">
      <c r="A78" s="1318" t="s">
        <v>1736</v>
      </c>
      <c r="B78" s="1319" t="s">
        <v>136</v>
      </c>
      <c r="C78" s="1320"/>
      <c r="D78" s="1320"/>
      <c r="E78" s="1321">
        <f>+C78+D78</f>
        <v>0</v>
      </c>
      <c r="G78" s="118">
        <f>+'1.mell._Össz_Mérleg2019'!E126</f>
        <v>0</v>
      </c>
      <c r="H78" s="118">
        <f t="shared" ref="H78:H79" si="14">+G78-E78</f>
        <v>0</v>
      </c>
      <c r="I78" s="118"/>
      <c r="J78" s="118">
        <v>0</v>
      </c>
    </row>
    <row r="79" spans="1:10" s="810" customFormat="1" ht="12.75" thickBot="1">
      <c r="A79" s="1318" t="s">
        <v>1737</v>
      </c>
      <c r="B79" s="1319" t="s">
        <v>2664</v>
      </c>
      <c r="C79" s="1320">
        <f>SUM(C80:C87)</f>
        <v>0</v>
      </c>
      <c r="D79" s="1320">
        <f t="shared" ref="D79:E79" si="15">SUM(D80:D87)</f>
        <v>0</v>
      </c>
      <c r="E79" s="1320">
        <f t="shared" si="15"/>
        <v>0</v>
      </c>
      <c r="G79" s="118">
        <f>+'1.mell._Össz_Mérleg2019'!E127</f>
        <v>0</v>
      </c>
      <c r="H79" s="118">
        <f t="shared" si="14"/>
        <v>0</v>
      </c>
      <c r="I79" s="118"/>
      <c r="J79" s="119">
        <v>0</v>
      </c>
    </row>
    <row r="80" spans="1:10" s="810" customFormat="1">
      <c r="A80" s="1322" t="s">
        <v>1738</v>
      </c>
      <c r="B80" s="1323" t="s">
        <v>1739</v>
      </c>
      <c r="C80" s="1324"/>
      <c r="D80" s="1324"/>
      <c r="E80" s="1325">
        <f t="shared" ref="E80:E87" si="16">+C80+D80</f>
        <v>0</v>
      </c>
      <c r="J80" s="119">
        <v>0</v>
      </c>
    </row>
    <row r="81" spans="1:10">
      <c r="A81" s="1311" t="s">
        <v>1740</v>
      </c>
      <c r="B81" s="1312" t="s">
        <v>1741</v>
      </c>
      <c r="C81" s="1313"/>
      <c r="D81" s="1313"/>
      <c r="E81" s="1314">
        <f t="shared" si="16"/>
        <v>0</v>
      </c>
      <c r="J81" s="118">
        <v>0</v>
      </c>
    </row>
    <row r="82" spans="1:10">
      <c r="A82" s="1311" t="s">
        <v>1742</v>
      </c>
      <c r="B82" s="1312" t="s">
        <v>1743</v>
      </c>
      <c r="C82" s="1313"/>
      <c r="D82" s="1313"/>
      <c r="E82" s="1314">
        <f t="shared" si="16"/>
        <v>0</v>
      </c>
      <c r="J82" s="118">
        <v>0</v>
      </c>
    </row>
    <row r="83" spans="1:10">
      <c r="A83" s="1311" t="s">
        <v>1744</v>
      </c>
      <c r="B83" s="1312" t="s">
        <v>1745</v>
      </c>
      <c r="C83" s="1313"/>
      <c r="D83" s="1313"/>
      <c r="E83" s="1314">
        <f t="shared" si="16"/>
        <v>0</v>
      </c>
      <c r="J83" s="118">
        <v>0</v>
      </c>
    </row>
    <row r="84" spans="1:10">
      <c r="A84" s="1311" t="s">
        <v>1746</v>
      </c>
      <c r="B84" s="1312" t="s">
        <v>1747</v>
      </c>
      <c r="C84" s="1313"/>
      <c r="D84" s="1313"/>
      <c r="E84" s="1314">
        <f t="shared" si="16"/>
        <v>0</v>
      </c>
      <c r="J84" s="118">
        <v>0</v>
      </c>
    </row>
    <row r="85" spans="1:10">
      <c r="A85" s="1311" t="s">
        <v>1748</v>
      </c>
      <c r="B85" s="1312" t="s">
        <v>1749</v>
      </c>
      <c r="C85" s="1313"/>
      <c r="D85" s="1313"/>
      <c r="E85" s="1314">
        <f t="shared" si="16"/>
        <v>0</v>
      </c>
      <c r="J85" s="118">
        <v>0</v>
      </c>
    </row>
    <row r="86" spans="1:10">
      <c r="A86" s="1311" t="s">
        <v>1750</v>
      </c>
      <c r="B86" s="1312" t="s">
        <v>1751</v>
      </c>
      <c r="C86" s="1313"/>
      <c r="D86" s="1313"/>
      <c r="E86" s="1314">
        <f t="shared" si="16"/>
        <v>0</v>
      </c>
      <c r="J86" s="118">
        <v>0</v>
      </c>
    </row>
    <row r="87" spans="1:10" ht="12.75" thickBot="1">
      <c r="A87" s="1330" t="s">
        <v>1752</v>
      </c>
      <c r="B87" s="815" t="s">
        <v>2665</v>
      </c>
      <c r="C87" s="1332"/>
      <c r="D87" s="1332"/>
      <c r="E87" s="1314">
        <f t="shared" si="16"/>
        <v>0</v>
      </c>
      <c r="J87" s="118">
        <v>0</v>
      </c>
    </row>
    <row r="88" spans="1:10" ht="12.75" thickBot="1">
      <c r="A88" s="1318" t="s">
        <v>1754</v>
      </c>
      <c r="B88" s="1319" t="s">
        <v>1753</v>
      </c>
      <c r="C88" s="1320">
        <f>SUM(C89:C97)</f>
        <v>0</v>
      </c>
      <c r="D88" s="1320">
        <f>SUM(D89:D97)</f>
        <v>0</v>
      </c>
      <c r="E88" s="1321">
        <f>SUM(E89:E97)</f>
        <v>0</v>
      </c>
      <c r="G88" s="118">
        <f>+'1.mell._Össz_Mérleg2019'!E128</f>
        <v>0</v>
      </c>
      <c r="H88" s="118">
        <f>+G88-E88</f>
        <v>0</v>
      </c>
      <c r="I88" s="118"/>
      <c r="J88" s="118">
        <v>0</v>
      </c>
    </row>
    <row r="89" spans="1:10">
      <c r="A89" s="1322" t="s">
        <v>1755</v>
      </c>
      <c r="B89" s="1323" t="s">
        <v>2666</v>
      </c>
      <c r="C89" s="1324"/>
      <c r="D89" s="1324"/>
      <c r="E89" s="1325">
        <f t="shared" ref="E89:E97" si="17">+C89+D89</f>
        <v>0</v>
      </c>
      <c r="J89" s="118">
        <v>0</v>
      </c>
    </row>
    <row r="90" spans="1:10" ht="24">
      <c r="A90" s="1311" t="s">
        <v>1757</v>
      </c>
      <c r="B90" s="1312" t="s">
        <v>1756</v>
      </c>
      <c r="C90" s="1313"/>
      <c r="D90" s="1313"/>
      <c r="E90" s="1314">
        <f t="shared" si="17"/>
        <v>0</v>
      </c>
      <c r="J90" s="118">
        <v>0</v>
      </c>
    </row>
    <row r="91" spans="1:10" s="810" customFormat="1">
      <c r="A91" s="1311" t="s">
        <v>1759</v>
      </c>
      <c r="B91" s="1312" t="s">
        <v>1758</v>
      </c>
      <c r="C91" s="1313"/>
      <c r="D91" s="1313"/>
      <c r="E91" s="1314">
        <f t="shared" si="17"/>
        <v>0</v>
      </c>
      <c r="J91" s="119">
        <v>0</v>
      </c>
    </row>
    <row r="92" spans="1:10">
      <c r="A92" s="1311" t="s">
        <v>1761</v>
      </c>
      <c r="B92" s="1312" t="s">
        <v>1760</v>
      </c>
      <c r="C92" s="1313"/>
      <c r="D92" s="1313"/>
      <c r="E92" s="1314">
        <f t="shared" si="17"/>
        <v>0</v>
      </c>
      <c r="J92" s="118">
        <v>0</v>
      </c>
    </row>
    <row r="93" spans="1:10">
      <c r="A93" s="1311" t="s">
        <v>1763</v>
      </c>
      <c r="B93" s="1312" t="s">
        <v>1762</v>
      </c>
      <c r="C93" s="1313"/>
      <c r="D93" s="1313"/>
      <c r="E93" s="1314">
        <f t="shared" si="17"/>
        <v>0</v>
      </c>
      <c r="J93" s="118">
        <v>0</v>
      </c>
    </row>
    <row r="94" spans="1:10">
      <c r="A94" s="1311" t="s">
        <v>1765</v>
      </c>
      <c r="B94" s="1312" t="s">
        <v>1764</v>
      </c>
      <c r="C94" s="1313"/>
      <c r="D94" s="1313"/>
      <c r="E94" s="1314">
        <f t="shared" si="17"/>
        <v>0</v>
      </c>
      <c r="J94" s="118">
        <v>0</v>
      </c>
    </row>
    <row r="95" spans="1:10">
      <c r="A95" s="1311" t="s">
        <v>1767</v>
      </c>
      <c r="B95" s="1312" t="s">
        <v>1766</v>
      </c>
      <c r="C95" s="1313"/>
      <c r="D95" s="1313"/>
      <c r="E95" s="1314">
        <f t="shared" si="17"/>
        <v>0</v>
      </c>
      <c r="J95" s="118">
        <v>0</v>
      </c>
    </row>
    <row r="96" spans="1:10">
      <c r="A96" s="1311" t="s">
        <v>1769</v>
      </c>
      <c r="B96" s="1312" t="s">
        <v>1768</v>
      </c>
      <c r="C96" s="1313"/>
      <c r="D96" s="1313"/>
      <c r="E96" s="1314">
        <f t="shared" si="17"/>
        <v>0</v>
      </c>
      <c r="J96" s="118">
        <v>0</v>
      </c>
    </row>
    <row r="97" spans="1:10" ht="12.75" thickBot="1">
      <c r="A97" s="1304" t="s">
        <v>1771</v>
      </c>
      <c r="B97" s="1315" t="s">
        <v>1770</v>
      </c>
      <c r="C97" s="1316"/>
      <c r="D97" s="1316"/>
      <c r="E97" s="1317">
        <f t="shared" si="17"/>
        <v>0</v>
      </c>
      <c r="J97" s="118">
        <v>0</v>
      </c>
    </row>
    <row r="98" spans="1:10" ht="12.75" thickBot="1">
      <c r="A98" s="1318" t="s">
        <v>1772</v>
      </c>
      <c r="B98" s="1319" t="s">
        <v>2667</v>
      </c>
      <c r="C98" s="1320">
        <f>SUM(C99:C100)</f>
        <v>0</v>
      </c>
      <c r="D98" s="1320">
        <f>SUM(D99:D100)</f>
        <v>0</v>
      </c>
      <c r="E98" s="1321">
        <f>SUM(E99:E100)</f>
        <v>0</v>
      </c>
      <c r="G98" s="118">
        <f>+'1.mell._Össz_Mérleg2019'!E129</f>
        <v>0</v>
      </c>
      <c r="H98" s="118">
        <f>+G98-E98</f>
        <v>0</v>
      </c>
      <c r="I98" s="118"/>
      <c r="J98" s="118">
        <v>0</v>
      </c>
    </row>
    <row r="99" spans="1:10">
      <c r="A99" s="1322" t="s">
        <v>1774</v>
      </c>
      <c r="B99" s="1323" t="s">
        <v>1773</v>
      </c>
      <c r="C99" s="1324"/>
      <c r="D99" s="1324"/>
      <c r="E99" s="1325">
        <f>+C99+D99</f>
        <v>0</v>
      </c>
      <c r="J99" s="118">
        <v>0</v>
      </c>
    </row>
    <row r="100" spans="1:10" ht="12.75" thickBot="1">
      <c r="A100" s="1311" t="s">
        <v>1776</v>
      </c>
      <c r="B100" s="1312" t="s">
        <v>1775</v>
      </c>
      <c r="C100" s="1313"/>
      <c r="D100" s="1313"/>
      <c r="E100" s="1314">
        <f>+C100+D100</f>
        <v>0</v>
      </c>
      <c r="J100" s="118">
        <v>0</v>
      </c>
    </row>
    <row r="101" spans="1:10" s="810" customFormat="1" ht="12.75" thickBot="1">
      <c r="A101" s="1318" t="s">
        <v>1777</v>
      </c>
      <c r="B101" s="1319" t="s">
        <v>2668</v>
      </c>
      <c r="C101" s="1320">
        <f>SUM(C102:C103)</f>
        <v>2461</v>
      </c>
      <c r="D101" s="1320">
        <f>SUM(D102:D103)</f>
        <v>0</v>
      </c>
      <c r="E101" s="1321">
        <f>SUM(E102:E103)</f>
        <v>2461</v>
      </c>
      <c r="G101" s="118">
        <f>+'1.mell._Össz_Mérleg2019'!E130</f>
        <v>2461</v>
      </c>
      <c r="H101" s="118">
        <f>+G101-E101</f>
        <v>0</v>
      </c>
      <c r="I101" s="118"/>
      <c r="J101" s="119">
        <v>2461076</v>
      </c>
    </row>
    <row r="102" spans="1:10">
      <c r="A102" s="1322" t="s">
        <v>1779</v>
      </c>
      <c r="B102" s="1323" t="s">
        <v>1778</v>
      </c>
      <c r="C102" s="1324"/>
      <c r="D102" s="1324"/>
      <c r="E102" s="1325">
        <f t="shared" ref="E102:E123" si="18">+C102+D102</f>
        <v>0</v>
      </c>
      <c r="J102" s="118">
        <v>0</v>
      </c>
    </row>
    <row r="103" spans="1:10" ht="12.75" thickBot="1">
      <c r="A103" s="1304" t="s">
        <v>1781</v>
      </c>
      <c r="B103" s="1315" t="s">
        <v>1780</v>
      </c>
      <c r="C103" s="1316">
        <v>2461</v>
      </c>
      <c r="D103" s="1316"/>
      <c r="E103" s="1317">
        <f t="shared" si="18"/>
        <v>2461</v>
      </c>
      <c r="J103" s="118">
        <v>2461076</v>
      </c>
    </row>
    <row r="104" spans="1:10" ht="12.75" thickBot="1">
      <c r="A104" s="1318" t="s">
        <v>1782</v>
      </c>
      <c r="B104" s="1319" t="s">
        <v>2669</v>
      </c>
      <c r="C104" s="1320">
        <v>40700</v>
      </c>
      <c r="D104" s="1320">
        <v>0</v>
      </c>
      <c r="E104" s="1321">
        <f t="shared" si="18"/>
        <v>40700</v>
      </c>
      <c r="G104" s="118">
        <f>+'1.mell._Össz_Mérleg2019'!E131</f>
        <v>40700</v>
      </c>
      <c r="H104" s="118">
        <f>+G104-E104</f>
        <v>0</v>
      </c>
      <c r="I104" s="118"/>
      <c r="J104" s="118">
        <v>40699486</v>
      </c>
    </row>
    <row r="105" spans="1:10">
      <c r="A105" s="1322" t="s">
        <v>1784</v>
      </c>
      <c r="B105" s="1323" t="s">
        <v>1783</v>
      </c>
      <c r="C105" s="1324"/>
      <c r="D105" s="1324"/>
      <c r="E105" s="1325">
        <f t="shared" si="18"/>
        <v>0</v>
      </c>
      <c r="J105" s="118">
        <v>0</v>
      </c>
    </row>
    <row r="106" spans="1:10">
      <c r="A106" s="1311" t="s">
        <v>1786</v>
      </c>
      <c r="B106" s="1312" t="s">
        <v>1785</v>
      </c>
      <c r="C106" s="1313"/>
      <c r="D106" s="1313"/>
      <c r="E106" s="1314">
        <f t="shared" si="18"/>
        <v>0</v>
      </c>
      <c r="J106" s="118">
        <v>0</v>
      </c>
    </row>
    <row r="107" spans="1:10">
      <c r="A107" s="1311" t="s">
        <v>1788</v>
      </c>
      <c r="B107" s="1312" t="s">
        <v>1787</v>
      </c>
      <c r="C107" s="1313"/>
      <c r="D107" s="1313"/>
      <c r="E107" s="1314">
        <f t="shared" si="18"/>
        <v>0</v>
      </c>
      <c r="J107" s="118">
        <v>0</v>
      </c>
    </row>
    <row r="108" spans="1:10" s="810" customFormat="1">
      <c r="A108" s="1311" t="s">
        <v>1790</v>
      </c>
      <c r="B108" s="1312" t="s">
        <v>1789</v>
      </c>
      <c r="C108" s="1313"/>
      <c r="D108" s="1313"/>
      <c r="E108" s="1314">
        <f t="shared" si="18"/>
        <v>0</v>
      </c>
      <c r="J108" s="119">
        <v>0</v>
      </c>
    </row>
    <row r="109" spans="1:10">
      <c r="A109" s="1311" t="s">
        <v>1792</v>
      </c>
      <c r="B109" s="1312" t="s">
        <v>1791</v>
      </c>
      <c r="C109" s="1313"/>
      <c r="D109" s="1313"/>
      <c r="E109" s="1314">
        <f t="shared" si="18"/>
        <v>0</v>
      </c>
      <c r="J109" s="118">
        <v>0</v>
      </c>
    </row>
    <row r="110" spans="1:10">
      <c r="A110" s="1311" t="s">
        <v>1794</v>
      </c>
      <c r="B110" s="1312" t="s">
        <v>1793</v>
      </c>
      <c r="C110" s="1313"/>
      <c r="D110" s="1313"/>
      <c r="E110" s="1314">
        <f t="shared" si="18"/>
        <v>0</v>
      </c>
      <c r="J110" s="118">
        <v>0</v>
      </c>
    </row>
    <row r="111" spans="1:10" s="810" customFormat="1">
      <c r="A111" s="1311" t="s">
        <v>1796</v>
      </c>
      <c r="B111" s="1312" t="s">
        <v>1795</v>
      </c>
      <c r="C111" s="1313"/>
      <c r="D111" s="1313"/>
      <c r="E111" s="1314">
        <f t="shared" si="18"/>
        <v>0</v>
      </c>
      <c r="J111" s="119">
        <v>0</v>
      </c>
    </row>
    <row r="112" spans="1:10" ht="24">
      <c r="A112" s="1311" t="s">
        <v>1798</v>
      </c>
      <c r="B112" s="1312" t="s">
        <v>1797</v>
      </c>
      <c r="C112" s="1313"/>
      <c r="D112" s="1313"/>
      <c r="E112" s="1314">
        <f t="shared" si="18"/>
        <v>0</v>
      </c>
      <c r="J112" s="118">
        <v>0</v>
      </c>
    </row>
    <row r="113" spans="1:10">
      <c r="A113" s="1311" t="s">
        <v>1800</v>
      </c>
      <c r="B113" s="1312" t="s">
        <v>1799</v>
      </c>
      <c r="C113" s="1313"/>
      <c r="D113" s="1313"/>
      <c r="E113" s="1314">
        <f t="shared" si="18"/>
        <v>0</v>
      </c>
      <c r="J113" s="118">
        <v>0</v>
      </c>
    </row>
    <row r="114" spans="1:10">
      <c r="A114" s="1311" t="s">
        <v>1802</v>
      </c>
      <c r="B114" s="1312" t="s">
        <v>1801</v>
      </c>
      <c r="C114" s="1313"/>
      <c r="D114" s="1313"/>
      <c r="E114" s="1314">
        <f t="shared" si="18"/>
        <v>0</v>
      </c>
      <c r="J114" s="118">
        <v>0</v>
      </c>
    </row>
    <row r="115" spans="1:10">
      <c r="A115" s="1311" t="s">
        <v>1804</v>
      </c>
      <c r="B115" s="1312" t="s">
        <v>1803</v>
      </c>
      <c r="C115" s="1313"/>
      <c r="D115" s="1313"/>
      <c r="E115" s="1314">
        <f t="shared" si="18"/>
        <v>0</v>
      </c>
      <c r="J115" s="118">
        <v>0</v>
      </c>
    </row>
    <row r="116" spans="1:10">
      <c r="A116" s="1311" t="s">
        <v>1806</v>
      </c>
      <c r="B116" s="1312" t="s">
        <v>1805</v>
      </c>
      <c r="C116" s="1313"/>
      <c r="D116" s="1313"/>
      <c r="E116" s="1314">
        <f t="shared" si="18"/>
        <v>0</v>
      </c>
      <c r="J116" s="118">
        <v>0</v>
      </c>
    </row>
    <row r="117" spans="1:10">
      <c r="A117" s="1311" t="s">
        <v>1808</v>
      </c>
      <c r="B117" s="1312" t="s">
        <v>1807</v>
      </c>
      <c r="C117" s="1313"/>
      <c r="D117" s="1313"/>
      <c r="E117" s="1314">
        <f t="shared" si="18"/>
        <v>0</v>
      </c>
      <c r="J117" s="118">
        <v>0</v>
      </c>
    </row>
    <row r="118" spans="1:10">
      <c r="A118" s="1311" t="s">
        <v>1810</v>
      </c>
      <c r="B118" s="1312" t="s">
        <v>1809</v>
      </c>
      <c r="C118" s="1313"/>
      <c r="D118" s="1313"/>
      <c r="E118" s="1314">
        <f t="shared" si="18"/>
        <v>0</v>
      </c>
      <c r="J118" s="118">
        <v>0</v>
      </c>
    </row>
    <row r="119" spans="1:10">
      <c r="A119" s="1311" t="s">
        <v>1812</v>
      </c>
      <c r="B119" s="1312" t="s">
        <v>1811</v>
      </c>
      <c r="C119" s="1313">
        <v>6672</v>
      </c>
      <c r="D119" s="1313"/>
      <c r="E119" s="1314">
        <f t="shared" si="18"/>
        <v>6672</v>
      </c>
      <c r="J119" s="118">
        <v>6671755</v>
      </c>
    </row>
    <row r="120" spans="1:10">
      <c r="A120" s="1311" t="s">
        <v>1814</v>
      </c>
      <c r="B120" s="1312" t="s">
        <v>1813</v>
      </c>
      <c r="C120" s="1313">
        <v>415</v>
      </c>
      <c r="D120" s="1313"/>
      <c r="E120" s="1314">
        <f t="shared" si="18"/>
        <v>415</v>
      </c>
      <c r="J120" s="118">
        <v>414678</v>
      </c>
    </row>
    <row r="121" spans="1:10">
      <c r="A121" s="1311" t="s">
        <v>1816</v>
      </c>
      <c r="B121" s="1312" t="s">
        <v>1815</v>
      </c>
      <c r="C121" s="1313">
        <v>29905</v>
      </c>
      <c r="D121" s="1313"/>
      <c r="E121" s="1314">
        <f t="shared" si="18"/>
        <v>29905</v>
      </c>
      <c r="J121" s="118">
        <v>29905537</v>
      </c>
    </row>
    <row r="122" spans="1:10">
      <c r="A122" s="1311" t="s">
        <v>1818</v>
      </c>
      <c r="B122" s="1312" t="s">
        <v>1817</v>
      </c>
      <c r="C122" s="1313"/>
      <c r="D122" s="1313"/>
      <c r="E122" s="1314">
        <f t="shared" si="18"/>
        <v>0</v>
      </c>
      <c r="J122" s="118">
        <v>0</v>
      </c>
    </row>
    <row r="123" spans="1:10" ht="12.75" thickBot="1">
      <c r="A123" s="1311" t="s">
        <v>1820</v>
      </c>
      <c r="B123" s="1312" t="s">
        <v>1819</v>
      </c>
      <c r="C123" s="1313"/>
      <c r="D123" s="1313"/>
      <c r="E123" s="1314">
        <f t="shared" si="18"/>
        <v>0</v>
      </c>
      <c r="J123" s="118">
        <v>0</v>
      </c>
    </row>
    <row r="124" spans="1:10" ht="12.75" thickBot="1">
      <c r="A124" s="1318" t="s">
        <v>1821</v>
      </c>
      <c r="B124" s="1319" t="s">
        <v>2670</v>
      </c>
      <c r="C124" s="1320">
        <f>+C66+C67+C78++C79+C88+C98+C101+C104</f>
        <v>43161</v>
      </c>
      <c r="D124" s="1320">
        <f>+D66+D67+D78++D79+D88+D98+D101+D104</f>
        <v>0</v>
      </c>
      <c r="E124" s="1321">
        <f>+E66+E67+E78++E79+E88+E98+E101+E104</f>
        <v>43161</v>
      </c>
      <c r="G124" s="118"/>
      <c r="J124" s="118">
        <v>43160562</v>
      </c>
    </row>
    <row r="125" spans="1:10" ht="12.75" thickBot="1">
      <c r="A125" s="1318" t="s">
        <v>1822</v>
      </c>
      <c r="B125" s="1319" t="s">
        <v>2671</v>
      </c>
      <c r="C125" s="1320">
        <v>0</v>
      </c>
      <c r="D125" s="1320">
        <v>0</v>
      </c>
      <c r="E125" s="1321">
        <f>+C125+D125</f>
        <v>0</v>
      </c>
      <c r="G125" s="118">
        <f>+'1.mell._Össz_Mérleg2019'!E133</f>
        <v>0</v>
      </c>
      <c r="H125" s="118">
        <f>+G125-E125</f>
        <v>0</v>
      </c>
      <c r="I125" s="118"/>
      <c r="J125" s="118">
        <v>0</v>
      </c>
    </row>
    <row r="126" spans="1:10">
      <c r="A126" s="1322" t="s">
        <v>1824</v>
      </c>
      <c r="B126" s="1323" t="s">
        <v>1823</v>
      </c>
      <c r="C126" s="1324"/>
      <c r="D126" s="1324"/>
      <c r="E126" s="1325">
        <f>+C126+D126</f>
        <v>0</v>
      </c>
      <c r="J126" s="118">
        <v>0</v>
      </c>
    </row>
    <row r="127" spans="1:10">
      <c r="A127" s="1311" t="s">
        <v>1826</v>
      </c>
      <c r="B127" s="1312" t="s">
        <v>1825</v>
      </c>
      <c r="C127" s="1313">
        <v>7250</v>
      </c>
      <c r="D127" s="1313"/>
      <c r="E127" s="1314">
        <f>+C127+D127</f>
        <v>7250</v>
      </c>
      <c r="J127" s="118">
        <v>7250281</v>
      </c>
    </row>
    <row r="128" spans="1:10">
      <c r="A128" s="1311" t="s">
        <v>1828</v>
      </c>
      <c r="B128" s="1312" t="s">
        <v>1827</v>
      </c>
      <c r="C128" s="1313"/>
      <c r="D128" s="1313"/>
      <c r="E128" s="1314">
        <f>+C128+D128</f>
        <v>0</v>
      </c>
      <c r="J128" s="118">
        <v>0</v>
      </c>
    </row>
    <row r="129" spans="1:10" ht="12.75" thickBot="1">
      <c r="A129" s="1304" t="s">
        <v>1830</v>
      </c>
      <c r="B129" s="1315" t="s">
        <v>1829</v>
      </c>
      <c r="C129" s="1316">
        <v>3007</v>
      </c>
      <c r="D129" s="1316"/>
      <c r="E129" s="1317">
        <f>+C129+D129</f>
        <v>3007</v>
      </c>
      <c r="I129" s="118">
        <f>+E129-'16.mell 2019K02'!E13</f>
        <v>0</v>
      </c>
      <c r="J129" s="118">
        <v>3007309</v>
      </c>
    </row>
    <row r="130" spans="1:10" ht="12.75" thickBot="1">
      <c r="A130" s="1318" t="s">
        <v>1831</v>
      </c>
      <c r="B130" s="1319" t="s">
        <v>2672</v>
      </c>
      <c r="C130" s="1320">
        <f>SUM(C127:C129)</f>
        <v>10257</v>
      </c>
      <c r="D130" s="1320">
        <f>SUM(D127:D129)</f>
        <v>0</v>
      </c>
      <c r="E130" s="1321">
        <f>SUM(E127:E129)</f>
        <v>10257</v>
      </c>
      <c r="G130" s="118">
        <f>+'1.mell._Össz_Mérleg2019'!E134</f>
        <v>10257</v>
      </c>
      <c r="H130" s="118">
        <f t="shared" ref="H130:H132" si="19">+G130-E130</f>
        <v>0</v>
      </c>
      <c r="I130" s="118"/>
      <c r="J130" s="118">
        <v>10257590</v>
      </c>
    </row>
    <row r="131" spans="1:10" ht="12.75" thickBot="1">
      <c r="A131" s="1326" t="s">
        <v>1832</v>
      </c>
      <c r="B131" s="1327" t="s">
        <v>144</v>
      </c>
      <c r="C131" s="1328">
        <v>0</v>
      </c>
      <c r="D131" s="1328">
        <v>0</v>
      </c>
      <c r="E131" s="1329">
        <f>+C131+D131</f>
        <v>0</v>
      </c>
      <c r="G131" s="118">
        <f>+'1.mell._Össz_Mérleg2019'!E135</f>
        <v>0</v>
      </c>
      <c r="H131" s="118">
        <f t="shared" si="19"/>
        <v>0</v>
      </c>
      <c r="I131" s="118"/>
      <c r="J131" s="118">
        <v>0</v>
      </c>
    </row>
    <row r="132" spans="1:10" ht="12.75" thickBot="1">
      <c r="A132" s="1318" t="s">
        <v>1833</v>
      </c>
      <c r="B132" s="1319" t="s">
        <v>2673</v>
      </c>
      <c r="C132" s="1320">
        <f>SUM(C133:C142)</f>
        <v>0</v>
      </c>
      <c r="D132" s="1320">
        <f>SUM(D133:D142)</f>
        <v>0</v>
      </c>
      <c r="E132" s="1321">
        <f>SUM(E133:E142)</f>
        <v>0</v>
      </c>
      <c r="G132" s="118">
        <f>+'1.mell._Össz_Mérleg2019'!E136</f>
        <v>0</v>
      </c>
      <c r="H132" s="118">
        <f t="shared" si="19"/>
        <v>0</v>
      </c>
      <c r="I132" s="118"/>
      <c r="J132" s="118">
        <v>0</v>
      </c>
    </row>
    <row r="133" spans="1:10">
      <c r="A133" s="1322" t="s">
        <v>1835</v>
      </c>
      <c r="B133" s="1323" t="s">
        <v>1834</v>
      </c>
      <c r="C133" s="1324"/>
      <c r="D133" s="1324"/>
      <c r="E133" s="1325">
        <f t="shared" ref="E133:E142" si="20">+C133+D133</f>
        <v>0</v>
      </c>
      <c r="J133" s="118">
        <v>0</v>
      </c>
    </row>
    <row r="134" spans="1:10">
      <c r="A134" s="1311" t="s">
        <v>1837</v>
      </c>
      <c r="B134" s="1312" t="s">
        <v>1836</v>
      </c>
      <c r="C134" s="1313"/>
      <c r="D134" s="1313"/>
      <c r="E134" s="1314">
        <f t="shared" si="20"/>
        <v>0</v>
      </c>
      <c r="J134" s="118">
        <v>0</v>
      </c>
    </row>
    <row r="135" spans="1:10">
      <c r="A135" s="1311" t="s">
        <v>1839</v>
      </c>
      <c r="B135" s="1312" t="s">
        <v>1838</v>
      </c>
      <c r="C135" s="1313"/>
      <c r="D135" s="1313"/>
      <c r="E135" s="1314">
        <f t="shared" si="20"/>
        <v>0</v>
      </c>
      <c r="J135" s="118">
        <v>0</v>
      </c>
    </row>
    <row r="136" spans="1:10">
      <c r="A136" s="1311" t="s">
        <v>1841</v>
      </c>
      <c r="B136" s="1312" t="s">
        <v>1840</v>
      </c>
      <c r="C136" s="1313"/>
      <c r="D136" s="1313"/>
      <c r="E136" s="1314">
        <f t="shared" si="20"/>
        <v>0</v>
      </c>
      <c r="J136" s="118">
        <v>0</v>
      </c>
    </row>
    <row r="137" spans="1:10">
      <c r="A137" s="1311" t="s">
        <v>1843</v>
      </c>
      <c r="B137" s="1312" t="s">
        <v>1842</v>
      </c>
      <c r="C137" s="1313"/>
      <c r="D137" s="1313"/>
      <c r="E137" s="1314">
        <f t="shared" si="20"/>
        <v>0</v>
      </c>
      <c r="J137" s="118">
        <v>0</v>
      </c>
    </row>
    <row r="138" spans="1:10">
      <c r="A138" s="1311" t="s">
        <v>1845</v>
      </c>
      <c r="B138" s="1312" t="s">
        <v>1844</v>
      </c>
      <c r="C138" s="1313"/>
      <c r="D138" s="1313"/>
      <c r="E138" s="1314">
        <f t="shared" si="20"/>
        <v>0</v>
      </c>
      <c r="J138" s="118">
        <v>0</v>
      </c>
    </row>
    <row r="139" spans="1:10">
      <c r="A139" s="1311" t="s">
        <v>1847</v>
      </c>
      <c r="B139" s="1312" t="s">
        <v>1846</v>
      </c>
      <c r="C139" s="1313"/>
      <c r="D139" s="1313"/>
      <c r="E139" s="1314">
        <f t="shared" si="20"/>
        <v>0</v>
      </c>
      <c r="J139" s="118">
        <v>0</v>
      </c>
    </row>
    <row r="140" spans="1:10">
      <c r="A140" s="1311" t="s">
        <v>1849</v>
      </c>
      <c r="B140" s="1312" t="s">
        <v>1848</v>
      </c>
      <c r="C140" s="1313"/>
      <c r="D140" s="1313"/>
      <c r="E140" s="1314">
        <f t="shared" si="20"/>
        <v>0</v>
      </c>
      <c r="J140" s="118">
        <v>0</v>
      </c>
    </row>
    <row r="141" spans="1:10">
      <c r="A141" s="1311" t="s">
        <v>1851</v>
      </c>
      <c r="B141" s="1312" t="s">
        <v>1850</v>
      </c>
      <c r="C141" s="1313"/>
      <c r="D141" s="1313"/>
      <c r="E141" s="1314">
        <f t="shared" si="20"/>
        <v>0</v>
      </c>
      <c r="J141" s="118">
        <v>0</v>
      </c>
    </row>
    <row r="142" spans="1:10" ht="12.75" thickBot="1">
      <c r="A142" s="1304" t="s">
        <v>1853</v>
      </c>
      <c r="B142" s="1315" t="s">
        <v>1852</v>
      </c>
      <c r="C142" s="1316"/>
      <c r="D142" s="1316"/>
      <c r="E142" s="1317">
        <f t="shared" si="20"/>
        <v>0</v>
      </c>
      <c r="J142" s="118">
        <v>0</v>
      </c>
    </row>
    <row r="143" spans="1:10" s="810" customFormat="1" ht="12.75" thickBot="1">
      <c r="A143" s="1318" t="s">
        <v>1854</v>
      </c>
      <c r="B143" s="1319" t="s">
        <v>2674</v>
      </c>
      <c r="C143" s="1320">
        <f>SUM(C144:C153)</f>
        <v>0</v>
      </c>
      <c r="D143" s="1320">
        <f>SUM(D144:D153)</f>
        <v>0</v>
      </c>
      <c r="E143" s="1321">
        <f>SUM(E144:E153)</f>
        <v>0</v>
      </c>
      <c r="G143" s="118">
        <f>+'1.mell._Össz_Mérleg2019'!E137</f>
        <v>0</v>
      </c>
      <c r="H143" s="118">
        <f>+G143-E143</f>
        <v>0</v>
      </c>
      <c r="I143" s="118"/>
      <c r="J143" s="119">
        <v>0</v>
      </c>
    </row>
    <row r="144" spans="1:10" s="810" customFormat="1">
      <c r="A144" s="1322" t="s">
        <v>1856</v>
      </c>
      <c r="B144" s="1323" t="s">
        <v>1855</v>
      </c>
      <c r="C144" s="1324"/>
      <c r="D144" s="1324"/>
      <c r="E144" s="1325">
        <f t="shared" ref="E144:E153" si="21">+C144+D144</f>
        <v>0</v>
      </c>
      <c r="J144" s="119">
        <v>0</v>
      </c>
    </row>
    <row r="145" spans="1:10" s="810" customFormat="1">
      <c r="A145" s="1311" t="s">
        <v>1858</v>
      </c>
      <c r="B145" s="1312" t="s">
        <v>1857</v>
      </c>
      <c r="C145" s="1313"/>
      <c r="D145" s="1313"/>
      <c r="E145" s="1314">
        <f t="shared" si="21"/>
        <v>0</v>
      </c>
      <c r="G145" s="118"/>
      <c r="J145" s="119">
        <v>0</v>
      </c>
    </row>
    <row r="146" spans="1:10">
      <c r="A146" s="1311" t="s">
        <v>1860</v>
      </c>
      <c r="B146" s="1312" t="s">
        <v>1859</v>
      </c>
      <c r="C146" s="1313"/>
      <c r="D146" s="1313"/>
      <c r="E146" s="1314">
        <f t="shared" si="21"/>
        <v>0</v>
      </c>
      <c r="J146" s="118">
        <v>0</v>
      </c>
    </row>
    <row r="147" spans="1:10">
      <c r="A147" s="1311" t="s">
        <v>1862</v>
      </c>
      <c r="B147" s="1312" t="s">
        <v>1861</v>
      </c>
      <c r="C147" s="1313"/>
      <c r="D147" s="1313"/>
      <c r="E147" s="1314">
        <f t="shared" si="21"/>
        <v>0</v>
      </c>
      <c r="J147" s="118">
        <v>0</v>
      </c>
    </row>
    <row r="148" spans="1:10">
      <c r="A148" s="1311" t="s">
        <v>1864</v>
      </c>
      <c r="B148" s="1312" t="s">
        <v>1863</v>
      </c>
      <c r="C148" s="1313"/>
      <c r="D148" s="1313"/>
      <c r="E148" s="1314">
        <f t="shared" si="21"/>
        <v>0</v>
      </c>
      <c r="J148" s="118">
        <v>0</v>
      </c>
    </row>
    <row r="149" spans="1:10">
      <c r="A149" s="1311" t="s">
        <v>1866</v>
      </c>
      <c r="B149" s="1312" t="s">
        <v>1865</v>
      </c>
      <c r="C149" s="1313"/>
      <c r="D149" s="1313"/>
      <c r="E149" s="1314">
        <f t="shared" si="21"/>
        <v>0</v>
      </c>
      <c r="J149" s="118">
        <v>0</v>
      </c>
    </row>
    <row r="150" spans="1:10">
      <c r="A150" s="1311" t="s">
        <v>1868</v>
      </c>
      <c r="B150" s="1312" t="s">
        <v>1867</v>
      </c>
      <c r="C150" s="1313"/>
      <c r="D150" s="1313"/>
      <c r="E150" s="1314">
        <f t="shared" si="21"/>
        <v>0</v>
      </c>
      <c r="J150" s="118">
        <v>0</v>
      </c>
    </row>
    <row r="151" spans="1:10">
      <c r="A151" s="1311" t="s">
        <v>1870</v>
      </c>
      <c r="B151" s="1312" t="s">
        <v>1869</v>
      </c>
      <c r="C151" s="1313"/>
      <c r="D151" s="1313"/>
      <c r="E151" s="1314">
        <f t="shared" si="21"/>
        <v>0</v>
      </c>
      <c r="J151" s="118">
        <v>0</v>
      </c>
    </row>
    <row r="152" spans="1:10">
      <c r="A152" s="1311" t="s">
        <v>1872</v>
      </c>
      <c r="B152" s="1312" t="s">
        <v>1871</v>
      </c>
      <c r="C152" s="1313"/>
      <c r="D152" s="1313"/>
      <c r="E152" s="1314">
        <f t="shared" si="21"/>
        <v>0</v>
      </c>
      <c r="J152" s="118">
        <v>0</v>
      </c>
    </row>
    <row r="153" spans="1:10" ht="12.75" thickBot="1">
      <c r="A153" s="1304" t="s">
        <v>1874</v>
      </c>
      <c r="B153" s="1315" t="s">
        <v>1873</v>
      </c>
      <c r="C153" s="1316"/>
      <c r="D153" s="1316"/>
      <c r="E153" s="1317">
        <f t="shared" si="21"/>
        <v>0</v>
      </c>
      <c r="J153" s="118">
        <v>0</v>
      </c>
    </row>
    <row r="154" spans="1:10" ht="12.75" thickBot="1">
      <c r="A154" s="1318" t="s">
        <v>1875</v>
      </c>
      <c r="B154" s="1319" t="s">
        <v>2675</v>
      </c>
      <c r="C154" s="1320">
        <f>SUM(C155:C164)</f>
        <v>17991</v>
      </c>
      <c r="D154" s="1320">
        <f>SUM(D155:D164)</f>
        <v>0</v>
      </c>
      <c r="E154" s="1321">
        <f>SUM(E155:E164)</f>
        <v>17991</v>
      </c>
      <c r="G154" s="118">
        <f>+'1.mell._Össz_Mérleg2019'!E138</f>
        <v>17991</v>
      </c>
      <c r="H154" s="118">
        <f>+G154-E154</f>
        <v>0</v>
      </c>
      <c r="I154" s="118"/>
      <c r="J154" s="118">
        <v>17990834</v>
      </c>
    </row>
    <row r="155" spans="1:10">
      <c r="A155" s="1322" t="s">
        <v>1877</v>
      </c>
      <c r="B155" s="1323" t="s">
        <v>1876</v>
      </c>
      <c r="C155" s="1324">
        <v>1300</v>
      </c>
      <c r="D155" s="1324"/>
      <c r="E155" s="1325">
        <f t="shared" ref="E155:E164" si="22">+C155+D155</f>
        <v>1300</v>
      </c>
      <c r="J155" s="118">
        <v>1300000</v>
      </c>
    </row>
    <row r="156" spans="1:10" s="810" customFormat="1">
      <c r="A156" s="1311" t="s">
        <v>1879</v>
      </c>
      <c r="B156" s="1312" t="s">
        <v>1878</v>
      </c>
      <c r="C156" s="1313">
        <v>176</v>
      </c>
      <c r="D156" s="1313"/>
      <c r="E156" s="1314">
        <f t="shared" si="22"/>
        <v>176</v>
      </c>
      <c r="G156" s="118"/>
      <c r="J156" s="119">
        <v>176000</v>
      </c>
    </row>
    <row r="157" spans="1:10">
      <c r="A157" s="1311" t="s">
        <v>1881</v>
      </c>
      <c r="B157" s="1312" t="s">
        <v>1880</v>
      </c>
      <c r="C157" s="1313">
        <v>200</v>
      </c>
      <c r="D157" s="1313"/>
      <c r="E157" s="1314">
        <f t="shared" si="22"/>
        <v>200</v>
      </c>
      <c r="J157" s="118">
        <v>200300</v>
      </c>
    </row>
    <row r="158" spans="1:10">
      <c r="A158" s="1311" t="s">
        <v>1883</v>
      </c>
      <c r="B158" s="1312" t="s">
        <v>1882</v>
      </c>
      <c r="C158" s="1313"/>
      <c r="D158" s="1313"/>
      <c r="E158" s="1314">
        <f t="shared" si="22"/>
        <v>0</v>
      </c>
      <c r="J158" s="118">
        <v>0</v>
      </c>
    </row>
    <row r="159" spans="1:10">
      <c r="A159" s="1311" t="s">
        <v>1885</v>
      </c>
      <c r="B159" s="1312" t="s">
        <v>1884</v>
      </c>
      <c r="C159" s="1313"/>
      <c r="D159" s="1313"/>
      <c r="E159" s="1314">
        <f t="shared" si="22"/>
        <v>0</v>
      </c>
      <c r="J159" s="118">
        <v>0</v>
      </c>
    </row>
    <row r="160" spans="1:10">
      <c r="A160" s="1311" t="s">
        <v>1887</v>
      </c>
      <c r="B160" s="1312" t="s">
        <v>1886</v>
      </c>
      <c r="C160" s="1313"/>
      <c r="D160" s="1313"/>
      <c r="E160" s="1314">
        <f t="shared" si="22"/>
        <v>0</v>
      </c>
      <c r="J160" s="118">
        <v>0</v>
      </c>
    </row>
    <row r="161" spans="1:10">
      <c r="A161" s="1311" t="s">
        <v>1889</v>
      </c>
      <c r="B161" s="1312" t="s">
        <v>1888</v>
      </c>
      <c r="C161" s="1313"/>
      <c r="D161" s="1313"/>
      <c r="E161" s="1314">
        <f t="shared" si="22"/>
        <v>0</v>
      </c>
      <c r="J161" s="118">
        <v>0</v>
      </c>
    </row>
    <row r="162" spans="1:10">
      <c r="A162" s="1311" t="s">
        <v>1891</v>
      </c>
      <c r="B162" s="1312" t="s">
        <v>1890</v>
      </c>
      <c r="C162" s="1313">
        <v>15465</v>
      </c>
      <c r="D162" s="1313"/>
      <c r="E162" s="1314">
        <f t="shared" si="22"/>
        <v>15465</v>
      </c>
      <c r="J162" s="118">
        <v>15464534</v>
      </c>
    </row>
    <row r="163" spans="1:10">
      <c r="A163" s="1311" t="s">
        <v>1893</v>
      </c>
      <c r="B163" s="1312" t="s">
        <v>1892</v>
      </c>
      <c r="C163" s="1313">
        <v>850</v>
      </c>
      <c r="D163" s="1313"/>
      <c r="E163" s="1314">
        <f t="shared" si="22"/>
        <v>850</v>
      </c>
      <c r="J163" s="118">
        <v>850000</v>
      </c>
    </row>
    <row r="164" spans="1:10" ht="12.75" thickBot="1">
      <c r="A164" s="1304" t="s">
        <v>1895</v>
      </c>
      <c r="B164" s="1315" t="s">
        <v>1894</v>
      </c>
      <c r="C164" s="1316"/>
      <c r="D164" s="1316"/>
      <c r="E164" s="1317">
        <f t="shared" si="22"/>
        <v>0</v>
      </c>
      <c r="J164" s="118">
        <v>0</v>
      </c>
    </row>
    <row r="165" spans="1:10" ht="12.75" thickBot="1">
      <c r="A165" s="1318" t="s">
        <v>1896</v>
      </c>
      <c r="B165" s="1319" t="s">
        <v>2676</v>
      </c>
      <c r="C165" s="1320">
        <v>0</v>
      </c>
      <c r="D165" s="1320">
        <v>0</v>
      </c>
      <c r="E165" s="1321">
        <f>+C165+D165</f>
        <v>0</v>
      </c>
      <c r="G165" s="118">
        <f>+'1.mell._Össz_Mérleg2019'!E140</f>
        <v>0</v>
      </c>
      <c r="H165" s="118">
        <f>+G165-E165</f>
        <v>0</v>
      </c>
      <c r="I165" s="118"/>
      <c r="J165" s="118">
        <v>0</v>
      </c>
    </row>
    <row r="166" spans="1:10" ht="12.75" thickBot="1">
      <c r="A166" s="1330" t="s">
        <v>1898</v>
      </c>
      <c r="B166" s="1331" t="s">
        <v>1897</v>
      </c>
      <c r="C166" s="1332"/>
      <c r="D166" s="1332"/>
      <c r="E166" s="1333">
        <f>+C166+D166</f>
        <v>0</v>
      </c>
      <c r="J166" s="118">
        <v>0</v>
      </c>
    </row>
    <row r="167" spans="1:10" s="810" customFormat="1" ht="12.75" thickBot="1">
      <c r="A167" s="1318" t="s">
        <v>1899</v>
      </c>
      <c r="B167" s="1319" t="s">
        <v>2677</v>
      </c>
      <c r="C167" s="1320">
        <f>SUM(C168:C178)</f>
        <v>8814</v>
      </c>
      <c r="D167" s="1320">
        <f>SUM(D168:D178)</f>
        <v>0</v>
      </c>
      <c r="E167" s="1321">
        <f>SUM(E168:E178)</f>
        <v>8814</v>
      </c>
      <c r="G167" s="118">
        <f>+'1.mell._Össz_Mérleg2019'!E141</f>
        <v>8814</v>
      </c>
      <c r="H167" s="118">
        <f>+G167-E167</f>
        <v>0</v>
      </c>
      <c r="I167" s="118"/>
      <c r="J167" s="119">
        <v>8813800</v>
      </c>
    </row>
    <row r="168" spans="1:10">
      <c r="A168" s="1322" t="s">
        <v>1901</v>
      </c>
      <c r="B168" s="1323" t="s">
        <v>1900</v>
      </c>
      <c r="C168" s="1324"/>
      <c r="D168" s="1324"/>
      <c r="E168" s="1325">
        <f t="shared" ref="E168:E178" si="23">+C168+D168</f>
        <v>0</v>
      </c>
      <c r="G168" s="118"/>
      <c r="J168" s="118">
        <v>0</v>
      </c>
    </row>
    <row r="169" spans="1:10">
      <c r="A169" s="1311" t="s">
        <v>1903</v>
      </c>
      <c r="B169" s="1312" t="s">
        <v>1902</v>
      </c>
      <c r="C169" s="1313"/>
      <c r="D169" s="1313"/>
      <c r="E169" s="1314">
        <f t="shared" si="23"/>
        <v>0</v>
      </c>
      <c r="J169" s="118">
        <v>0</v>
      </c>
    </row>
    <row r="170" spans="1:10">
      <c r="A170" s="1311" t="s">
        <v>1905</v>
      </c>
      <c r="B170" s="1312" t="s">
        <v>1904</v>
      </c>
      <c r="C170" s="1313"/>
      <c r="D170" s="1313"/>
      <c r="E170" s="1314">
        <f t="shared" si="23"/>
        <v>0</v>
      </c>
      <c r="J170" s="118">
        <v>0</v>
      </c>
    </row>
    <row r="171" spans="1:10">
      <c r="A171" s="1311" t="s">
        <v>1907</v>
      </c>
      <c r="B171" s="1312" t="s">
        <v>1906</v>
      </c>
      <c r="C171" s="1313">
        <v>8814</v>
      </c>
      <c r="D171" s="1313"/>
      <c r="E171" s="1314">
        <f t="shared" si="23"/>
        <v>8814</v>
      </c>
      <c r="J171" s="118">
        <v>8813800</v>
      </c>
    </row>
    <row r="172" spans="1:10">
      <c r="A172" s="1311" t="s">
        <v>1909</v>
      </c>
      <c r="B172" s="1312" t="s">
        <v>1908</v>
      </c>
      <c r="C172" s="1313"/>
      <c r="D172" s="1313"/>
      <c r="E172" s="1314">
        <f t="shared" si="23"/>
        <v>0</v>
      </c>
      <c r="J172" s="118">
        <v>0</v>
      </c>
    </row>
    <row r="173" spans="1:10">
      <c r="A173" s="1311" t="s">
        <v>1911</v>
      </c>
      <c r="B173" s="1312" t="s">
        <v>1910</v>
      </c>
      <c r="C173" s="1313"/>
      <c r="D173" s="1313"/>
      <c r="E173" s="1314">
        <f t="shared" si="23"/>
        <v>0</v>
      </c>
      <c r="J173" s="118">
        <v>0</v>
      </c>
    </row>
    <row r="174" spans="1:10">
      <c r="A174" s="1311" t="s">
        <v>1913</v>
      </c>
      <c r="B174" s="1312" t="s">
        <v>1912</v>
      </c>
      <c r="C174" s="1313"/>
      <c r="D174" s="1313"/>
      <c r="E174" s="1314">
        <f t="shared" si="23"/>
        <v>0</v>
      </c>
      <c r="J174" s="118">
        <v>0</v>
      </c>
    </row>
    <row r="175" spans="1:10">
      <c r="A175" s="1311" t="s">
        <v>1915</v>
      </c>
      <c r="B175" s="1312" t="s">
        <v>1914</v>
      </c>
      <c r="C175" s="1313"/>
      <c r="D175" s="1313"/>
      <c r="E175" s="1314">
        <f t="shared" si="23"/>
        <v>0</v>
      </c>
      <c r="J175" s="118">
        <v>0</v>
      </c>
    </row>
    <row r="176" spans="1:10">
      <c r="A176" s="1311" t="s">
        <v>1917</v>
      </c>
      <c r="B176" s="1312" t="s">
        <v>1916</v>
      </c>
      <c r="C176" s="1313"/>
      <c r="D176" s="1313"/>
      <c r="E176" s="1314">
        <f t="shared" si="23"/>
        <v>0</v>
      </c>
      <c r="J176" s="118">
        <v>0</v>
      </c>
    </row>
    <row r="177" spans="1:10">
      <c r="A177" s="1311" t="s">
        <v>1919</v>
      </c>
      <c r="B177" s="1312" t="s">
        <v>1918</v>
      </c>
      <c r="C177" s="1313"/>
      <c r="D177" s="1313"/>
      <c r="E177" s="1314">
        <f t="shared" si="23"/>
        <v>0</v>
      </c>
      <c r="J177" s="118">
        <v>0</v>
      </c>
    </row>
    <row r="178" spans="1:10" s="810" customFormat="1" ht="12.75" thickBot="1">
      <c r="A178" s="1304" t="s">
        <v>1921</v>
      </c>
      <c r="B178" s="1315" t="s">
        <v>1920</v>
      </c>
      <c r="C178" s="1316"/>
      <c r="D178" s="1316"/>
      <c r="E178" s="1317">
        <f t="shared" si="23"/>
        <v>0</v>
      </c>
      <c r="J178" s="119">
        <v>0</v>
      </c>
    </row>
    <row r="179" spans="1:10" ht="12.75" thickBot="1">
      <c r="A179" s="1318" t="s">
        <v>1922</v>
      </c>
      <c r="B179" s="1319" t="s">
        <v>150</v>
      </c>
      <c r="C179" s="1320">
        <v>0</v>
      </c>
      <c r="D179" s="1320">
        <v>0</v>
      </c>
      <c r="E179" s="1321">
        <f>+C179+D179</f>
        <v>0</v>
      </c>
      <c r="G179" s="118">
        <f>+'1.mell._Össz_Mérleg2019'!E142</f>
        <v>0</v>
      </c>
      <c r="H179" s="118">
        <f t="shared" ref="H179:H182" si="24">+G179-E179</f>
        <v>0</v>
      </c>
      <c r="I179" s="118"/>
      <c r="J179" s="118">
        <v>0</v>
      </c>
    </row>
    <row r="180" spans="1:10" s="810" customFormat="1" ht="12.75" thickBot="1">
      <c r="A180" s="1326" t="s">
        <v>1923</v>
      </c>
      <c r="B180" s="1327" t="s">
        <v>151</v>
      </c>
      <c r="C180" s="1328">
        <v>0</v>
      </c>
      <c r="D180" s="1328">
        <v>0</v>
      </c>
      <c r="E180" s="1329">
        <f>+C180+D180</f>
        <v>0</v>
      </c>
      <c r="G180" s="118">
        <f>+'1.mell._Össz_Mérleg2019'!E143</f>
        <v>0</v>
      </c>
      <c r="H180" s="118">
        <f t="shared" si="24"/>
        <v>0</v>
      </c>
      <c r="I180" s="118"/>
      <c r="J180" s="119">
        <v>0</v>
      </c>
    </row>
    <row r="181" spans="1:10" ht="12.75" thickBot="1">
      <c r="A181" s="1318" t="s">
        <v>1924</v>
      </c>
      <c r="B181" s="1319" t="s">
        <v>928</v>
      </c>
      <c r="C181" s="1320">
        <v>0</v>
      </c>
      <c r="D181" s="1320">
        <v>0</v>
      </c>
      <c r="E181" s="1321">
        <f>+C181+D181</f>
        <v>0</v>
      </c>
      <c r="G181" s="118">
        <f>+'1.mell._Össz_Mérleg2019'!E144</f>
        <v>0</v>
      </c>
      <c r="H181" s="118">
        <f t="shared" si="24"/>
        <v>0</v>
      </c>
      <c r="I181" s="118"/>
      <c r="J181" s="118">
        <v>0</v>
      </c>
    </row>
    <row r="182" spans="1:10" ht="12.75" thickBot="1">
      <c r="A182" s="1318" t="s">
        <v>1925</v>
      </c>
      <c r="B182" s="1319" t="s">
        <v>2678</v>
      </c>
      <c r="C182" s="1320">
        <f>SUM(C183:C192)</f>
        <v>52298</v>
      </c>
      <c r="D182" s="1320">
        <f>SUM(D183:D192)</f>
        <v>0</v>
      </c>
      <c r="E182" s="1321">
        <f>SUM(E183:E192)</f>
        <v>52298</v>
      </c>
      <c r="G182" s="118">
        <f>+'1.mell._Össz_Mérleg2019'!E145</f>
        <v>52297</v>
      </c>
      <c r="H182" s="118">
        <f t="shared" si="24"/>
        <v>-1</v>
      </c>
      <c r="I182" s="118"/>
      <c r="J182" s="118">
        <v>52297419</v>
      </c>
    </row>
    <row r="183" spans="1:10">
      <c r="A183" s="1322" t="s">
        <v>1927</v>
      </c>
      <c r="B183" s="1323" t="s">
        <v>1926</v>
      </c>
      <c r="C183" s="1324"/>
      <c r="D183" s="1324"/>
      <c r="E183" s="1325">
        <f t="shared" ref="E183:E192" si="25">+C183+D183</f>
        <v>0</v>
      </c>
      <c r="G183" s="118"/>
      <c r="J183" s="118">
        <v>0</v>
      </c>
    </row>
    <row r="184" spans="1:10">
      <c r="A184" s="1311" t="s">
        <v>1929</v>
      </c>
      <c r="B184" s="1312" t="s">
        <v>1928</v>
      </c>
      <c r="C184" s="1313"/>
      <c r="D184" s="1313"/>
      <c r="E184" s="1314">
        <f t="shared" si="25"/>
        <v>0</v>
      </c>
      <c r="J184" s="118">
        <v>7000000</v>
      </c>
    </row>
    <row r="185" spans="1:10">
      <c r="A185" s="1311" t="s">
        <v>1931</v>
      </c>
      <c r="B185" s="1312" t="s">
        <v>1930</v>
      </c>
      <c r="C185" s="1313">
        <v>7000</v>
      </c>
      <c r="D185" s="1313"/>
      <c r="E185" s="1314">
        <f t="shared" si="25"/>
        <v>7000</v>
      </c>
      <c r="J185" s="118">
        <v>20422419</v>
      </c>
    </row>
    <row r="186" spans="1:10">
      <c r="A186" s="1311" t="s">
        <v>1933</v>
      </c>
      <c r="B186" s="1312" t="s">
        <v>1932</v>
      </c>
      <c r="C186" s="1313">
        <v>20423</v>
      </c>
      <c r="D186" s="1313"/>
      <c r="E186" s="1314">
        <f t="shared" si="25"/>
        <v>20423</v>
      </c>
      <c r="J186" s="118">
        <v>7475000</v>
      </c>
    </row>
    <row r="187" spans="1:10">
      <c r="A187" s="1311" t="s">
        <v>1935</v>
      </c>
      <c r="B187" s="1312" t="s">
        <v>1934</v>
      </c>
      <c r="C187" s="1313">
        <v>7475</v>
      </c>
      <c r="D187" s="1313"/>
      <c r="E187" s="1314">
        <f t="shared" si="25"/>
        <v>7475</v>
      </c>
      <c r="J187" s="118">
        <v>0</v>
      </c>
    </row>
    <row r="188" spans="1:10">
      <c r="A188" s="1311" t="s">
        <v>1937</v>
      </c>
      <c r="B188" s="1312" t="s">
        <v>1936</v>
      </c>
      <c r="C188" s="1313"/>
      <c r="D188" s="1313"/>
      <c r="E188" s="1314">
        <f t="shared" si="25"/>
        <v>0</v>
      </c>
      <c r="J188" s="118">
        <v>0</v>
      </c>
    </row>
    <row r="189" spans="1:10">
      <c r="A189" s="1311" t="s">
        <v>1939</v>
      </c>
      <c r="B189" s="1312" t="s">
        <v>1938</v>
      </c>
      <c r="C189" s="1313">
        <v>16500</v>
      </c>
      <c r="D189" s="1313"/>
      <c r="E189" s="1314">
        <f t="shared" si="25"/>
        <v>16500</v>
      </c>
      <c r="J189" s="118">
        <v>16500000</v>
      </c>
    </row>
    <row r="190" spans="1:10">
      <c r="A190" s="1311" t="s">
        <v>1941</v>
      </c>
      <c r="B190" s="1312" t="s">
        <v>1940</v>
      </c>
      <c r="C190" s="1313">
        <v>900</v>
      </c>
      <c r="D190" s="1313"/>
      <c r="E190" s="1314">
        <f t="shared" si="25"/>
        <v>900</v>
      </c>
      <c r="J190" s="118">
        <v>900000</v>
      </c>
    </row>
    <row r="191" spans="1:10">
      <c r="A191" s="1311" t="s">
        <v>1943</v>
      </c>
      <c r="B191" s="1312" t="s">
        <v>1942</v>
      </c>
      <c r="C191" s="1313"/>
      <c r="D191" s="1313"/>
      <c r="E191" s="1314">
        <f t="shared" si="25"/>
        <v>0</v>
      </c>
      <c r="J191" s="118">
        <v>0</v>
      </c>
    </row>
    <row r="192" spans="1:10" s="810" customFormat="1" ht="12.75" thickBot="1">
      <c r="A192" s="1304" t="s">
        <v>1945</v>
      </c>
      <c r="B192" s="1315" t="s">
        <v>1944</v>
      </c>
      <c r="C192" s="1316"/>
      <c r="D192" s="1316"/>
      <c r="E192" s="1317">
        <f t="shared" si="25"/>
        <v>0</v>
      </c>
      <c r="J192" s="119">
        <v>0</v>
      </c>
    </row>
    <row r="193" spans="1:10" s="810" customFormat="1" ht="12.75" thickBot="1">
      <c r="A193" s="1318" t="s">
        <v>1947</v>
      </c>
      <c r="B193" s="1319" t="s">
        <v>1946</v>
      </c>
      <c r="C193" s="1320">
        <v>0</v>
      </c>
      <c r="D193" s="1320">
        <v>0</v>
      </c>
      <c r="E193" s="1321">
        <f>+C193+D193</f>
        <v>0</v>
      </c>
      <c r="G193" s="118">
        <f>+'1.mell._Össz_Mérleg2019'!E146</f>
        <v>0</v>
      </c>
      <c r="H193" s="118">
        <f>+G193-E193</f>
        <v>0</v>
      </c>
      <c r="I193" s="118"/>
      <c r="J193" s="119">
        <v>0</v>
      </c>
    </row>
    <row r="194" spans="1:10" s="810" customFormat="1" ht="12.75" thickBot="1">
      <c r="A194" s="1318" t="s">
        <v>1948</v>
      </c>
      <c r="B194" s="1319" t="s">
        <v>2679</v>
      </c>
      <c r="C194" s="1320">
        <f>+C125+C130+C131+C132+C143+C154+C165+C167+C179+C180+C181+C182+C193</f>
        <v>89360</v>
      </c>
      <c r="D194" s="1320">
        <f>+D125+D130+D131+D132+D143+D154+D165+D167+D179+D180+D181+D182+D193</f>
        <v>0</v>
      </c>
      <c r="E194" s="1321">
        <f>+E125+E130+E131+E132+E143+E154+E165+E167+E179+E180+E181+E182+E193</f>
        <v>89360</v>
      </c>
      <c r="G194" s="118"/>
      <c r="J194" s="119">
        <v>89359643</v>
      </c>
    </row>
    <row r="195" spans="1:10" s="810" customFormat="1">
      <c r="A195" s="1322" t="s">
        <v>1949</v>
      </c>
      <c r="B195" s="1323" t="s">
        <v>152</v>
      </c>
      <c r="C195" s="1324">
        <v>265</v>
      </c>
      <c r="D195" s="1324"/>
      <c r="E195" s="1325">
        <f t="shared" ref="E195:E202" si="26">+C195+D195</f>
        <v>265</v>
      </c>
      <c r="G195" s="118">
        <f>+'1.mell._Össz_Mérleg2019'!E152</f>
        <v>265</v>
      </c>
      <c r="H195" s="118">
        <f t="shared" ref="H195:H196" si="27">+G195-E195</f>
        <v>0</v>
      </c>
      <c r="I195" s="118"/>
      <c r="J195" s="119">
        <v>265000</v>
      </c>
    </row>
    <row r="196" spans="1:10">
      <c r="A196" s="1311" t="s">
        <v>1950</v>
      </c>
      <c r="B196" s="1312" t="s">
        <v>2680</v>
      </c>
      <c r="C196" s="1313">
        <v>753531</v>
      </c>
      <c r="D196" s="1313"/>
      <c r="E196" s="1314">
        <f t="shared" si="26"/>
        <v>753531</v>
      </c>
      <c r="G196" s="118">
        <f>+'1.mell._Össz_Mérleg2019'!E153</f>
        <v>753532</v>
      </c>
      <c r="H196" s="118">
        <f t="shared" si="27"/>
        <v>1</v>
      </c>
      <c r="I196" s="118"/>
      <c r="J196" s="118">
        <v>753531153</v>
      </c>
    </row>
    <row r="197" spans="1:10">
      <c r="A197" s="1311" t="s">
        <v>1952</v>
      </c>
      <c r="B197" s="1312" t="s">
        <v>1951</v>
      </c>
      <c r="C197" s="1313"/>
      <c r="D197" s="1313"/>
      <c r="E197" s="1314">
        <f t="shared" si="26"/>
        <v>0</v>
      </c>
      <c r="J197" s="118">
        <v>0</v>
      </c>
    </row>
    <row r="198" spans="1:10">
      <c r="A198" s="1311" t="s">
        <v>1953</v>
      </c>
      <c r="B198" s="1312" t="s">
        <v>154</v>
      </c>
      <c r="C198" s="1313">
        <v>3390</v>
      </c>
      <c r="D198" s="1313"/>
      <c r="E198" s="1314">
        <f t="shared" si="26"/>
        <v>3390</v>
      </c>
      <c r="G198" s="118">
        <f>+'1.mell._Össz_Mérleg2019'!E154</f>
        <v>3390</v>
      </c>
      <c r="H198" s="118">
        <f t="shared" ref="H198:H202" si="28">+G198-E198</f>
        <v>0</v>
      </c>
      <c r="I198" s="118"/>
      <c r="J198" s="118">
        <v>3389630</v>
      </c>
    </row>
    <row r="199" spans="1:10">
      <c r="A199" s="1311" t="s">
        <v>1954</v>
      </c>
      <c r="B199" s="1312" t="s">
        <v>155</v>
      </c>
      <c r="C199" s="1313">
        <v>40252</v>
      </c>
      <c r="D199" s="1313"/>
      <c r="E199" s="1314">
        <f t="shared" si="26"/>
        <v>40252</v>
      </c>
      <c r="G199" s="118">
        <f>+'1.mell._Össz_Mérleg2019'!E155</f>
        <v>40252</v>
      </c>
      <c r="H199" s="118">
        <f t="shared" si="28"/>
        <v>0</v>
      </c>
      <c r="I199" s="118"/>
      <c r="J199" s="118">
        <v>40252099</v>
      </c>
    </row>
    <row r="200" spans="1:10">
      <c r="A200" s="1311" t="s">
        <v>1955</v>
      </c>
      <c r="B200" s="1312" t="s">
        <v>156</v>
      </c>
      <c r="C200" s="1313"/>
      <c r="D200" s="1313"/>
      <c r="E200" s="1314">
        <f t="shared" si="26"/>
        <v>0</v>
      </c>
      <c r="G200" s="118">
        <f>+'1.mell._Össz_Mérleg2019'!E156</f>
        <v>0</v>
      </c>
      <c r="H200" s="118">
        <f t="shared" si="28"/>
        <v>0</v>
      </c>
      <c r="I200" s="118"/>
      <c r="J200" s="118">
        <v>0</v>
      </c>
    </row>
    <row r="201" spans="1:10">
      <c r="A201" s="1311" t="s">
        <v>1956</v>
      </c>
      <c r="B201" s="1312" t="s">
        <v>157</v>
      </c>
      <c r="C201" s="1313"/>
      <c r="D201" s="1313"/>
      <c r="E201" s="1314">
        <f t="shared" si="26"/>
        <v>0</v>
      </c>
      <c r="G201" s="118">
        <f>+'1.mell._Össz_Mérleg2019'!E157</f>
        <v>0</v>
      </c>
      <c r="H201" s="118">
        <f t="shared" si="28"/>
        <v>0</v>
      </c>
      <c r="I201" s="118"/>
      <c r="J201" s="118">
        <v>0</v>
      </c>
    </row>
    <row r="202" spans="1:10" ht="12.75" thickBot="1">
      <c r="A202" s="1304" t="s">
        <v>1957</v>
      </c>
      <c r="B202" s="1315" t="s">
        <v>158</v>
      </c>
      <c r="C202" s="1316">
        <v>18860</v>
      </c>
      <c r="D202" s="1316"/>
      <c r="E202" s="1317">
        <f t="shared" si="26"/>
        <v>18860</v>
      </c>
      <c r="G202" s="118">
        <f>+'1.mell._Össz_Mérleg2019'!E158</f>
        <v>18860</v>
      </c>
      <c r="H202" s="118">
        <f t="shared" si="28"/>
        <v>0</v>
      </c>
      <c r="I202" s="118"/>
      <c r="J202" s="118">
        <v>18859976</v>
      </c>
    </row>
    <row r="203" spans="1:10" ht="12.75" thickBot="1">
      <c r="A203" s="1318" t="s">
        <v>1958</v>
      </c>
      <c r="B203" s="1319" t="s">
        <v>2681</v>
      </c>
      <c r="C203" s="1320">
        <f>+C195+C196+C198+C199+C200+C201+C202</f>
        <v>816298</v>
      </c>
      <c r="D203" s="1320">
        <f>+D195+D196+D198+D199+D200+D201+D202</f>
        <v>0</v>
      </c>
      <c r="E203" s="1321">
        <f>+E195+E196+E198+E199+E200+E201+E202</f>
        <v>816298</v>
      </c>
      <c r="G203" s="118"/>
      <c r="J203" s="118">
        <v>816297858</v>
      </c>
    </row>
    <row r="204" spans="1:10">
      <c r="A204" s="1322" t="s">
        <v>1959</v>
      </c>
      <c r="B204" s="1323" t="s">
        <v>159</v>
      </c>
      <c r="C204" s="1324">
        <v>208582</v>
      </c>
      <c r="D204" s="1324"/>
      <c r="E204" s="1325">
        <f>+C204+D204</f>
        <v>208582</v>
      </c>
      <c r="G204" s="118">
        <f>+'1.mell._Össz_Mérleg2019'!E161</f>
        <v>208582</v>
      </c>
      <c r="H204" s="118">
        <f t="shared" ref="H204:H207" si="29">+G204-E204</f>
        <v>0</v>
      </c>
      <c r="I204" s="118"/>
      <c r="J204" s="118">
        <v>208581840</v>
      </c>
    </row>
    <row r="205" spans="1:10">
      <c r="A205" s="1311" t="s">
        <v>1960</v>
      </c>
      <c r="B205" s="1312" t="s">
        <v>160</v>
      </c>
      <c r="C205" s="1313"/>
      <c r="D205" s="1313"/>
      <c r="E205" s="1314">
        <f>+C205+D205</f>
        <v>0</v>
      </c>
      <c r="G205" s="118">
        <f>+'1.mell._Össz_Mérleg2019'!E162</f>
        <v>0</v>
      </c>
      <c r="H205" s="118">
        <f t="shared" si="29"/>
        <v>0</v>
      </c>
      <c r="I205" s="118"/>
      <c r="J205" s="118">
        <v>0</v>
      </c>
    </row>
    <row r="206" spans="1:10" s="810" customFormat="1">
      <c r="A206" s="1311" t="s">
        <v>1961</v>
      </c>
      <c r="B206" s="1312" t="s">
        <v>161</v>
      </c>
      <c r="C206" s="1313"/>
      <c r="D206" s="1313"/>
      <c r="E206" s="1314">
        <f>+C206+D206</f>
        <v>0</v>
      </c>
      <c r="G206" s="118">
        <f>+'1.mell._Össz_Mérleg2019'!E163</f>
        <v>0</v>
      </c>
      <c r="H206" s="118">
        <f t="shared" si="29"/>
        <v>0</v>
      </c>
      <c r="I206" s="118"/>
      <c r="J206" s="119">
        <v>0</v>
      </c>
    </row>
    <row r="207" spans="1:10" s="810" customFormat="1" ht="12.75" thickBot="1">
      <c r="A207" s="1304" t="s">
        <v>1962</v>
      </c>
      <c r="B207" s="1315" t="s">
        <v>162</v>
      </c>
      <c r="C207" s="1316">
        <v>43931</v>
      </c>
      <c r="D207" s="1316"/>
      <c r="E207" s="1317">
        <f>+C207+D207</f>
        <v>43931</v>
      </c>
      <c r="G207" s="118">
        <f>+'1.mell._Össz_Mérleg2019'!E164</f>
        <v>43931</v>
      </c>
      <c r="H207" s="118">
        <f t="shared" si="29"/>
        <v>0</v>
      </c>
      <c r="I207" s="118"/>
      <c r="J207" s="119">
        <v>43930938</v>
      </c>
    </row>
    <row r="208" spans="1:10" ht="12.75" thickBot="1">
      <c r="A208" s="1318" t="s">
        <v>1963</v>
      </c>
      <c r="B208" s="1319" t="s">
        <v>2682</v>
      </c>
      <c r="C208" s="1320">
        <f>SUM(C204:C207)</f>
        <v>252513</v>
      </c>
      <c r="D208" s="1320">
        <f>SUM(D204:D207)</f>
        <v>0</v>
      </c>
      <c r="E208" s="1321">
        <f>SUM(E204:E207)</f>
        <v>252513</v>
      </c>
      <c r="G208" s="118"/>
      <c r="J208" s="118">
        <v>252512778</v>
      </c>
    </row>
    <row r="209" spans="1:10" ht="12.75" thickBot="1">
      <c r="A209" s="1318" t="s">
        <v>1964</v>
      </c>
      <c r="B209" s="1319" t="s">
        <v>163</v>
      </c>
      <c r="C209" s="1320">
        <v>0</v>
      </c>
      <c r="D209" s="1320">
        <v>0</v>
      </c>
      <c r="E209" s="1321">
        <f>+C209+D209</f>
        <v>0</v>
      </c>
      <c r="G209" s="118">
        <f>+'1.mell._Össz_Mérleg2019'!E166</f>
        <v>0</v>
      </c>
      <c r="H209" s="118">
        <f t="shared" ref="H209:H210" si="30">+G209-E209</f>
        <v>0</v>
      </c>
      <c r="I209" s="118"/>
      <c r="J209" s="118">
        <v>0</v>
      </c>
    </row>
    <row r="210" spans="1:10" ht="12.75" thickBot="1">
      <c r="A210" s="1318" t="s">
        <v>1965</v>
      </c>
      <c r="B210" s="1319" t="s">
        <v>2683</v>
      </c>
      <c r="C210" s="1320">
        <f>SUM(C211:C220)</f>
        <v>0</v>
      </c>
      <c r="D210" s="1320">
        <f>SUM(D211:D220)</f>
        <v>0</v>
      </c>
      <c r="E210" s="1321">
        <f>SUM(E211:E220)</f>
        <v>0</v>
      </c>
      <c r="G210" s="118">
        <f>+'1.mell._Össz_Mérleg2019'!E167</f>
        <v>0</v>
      </c>
      <c r="H210" s="118">
        <f t="shared" si="30"/>
        <v>0</v>
      </c>
      <c r="I210" s="118"/>
      <c r="J210" s="118">
        <v>0</v>
      </c>
    </row>
    <row r="211" spans="1:10">
      <c r="A211" s="1322" t="s">
        <v>1967</v>
      </c>
      <c r="B211" s="1323" t="s">
        <v>1966</v>
      </c>
      <c r="C211" s="1324"/>
      <c r="D211" s="1324"/>
      <c r="E211" s="1325">
        <f t="shared" ref="E211:E220" si="31">+C211+D211</f>
        <v>0</v>
      </c>
      <c r="J211" s="118">
        <v>0</v>
      </c>
    </row>
    <row r="212" spans="1:10">
      <c r="A212" s="1311" t="s">
        <v>1969</v>
      </c>
      <c r="B212" s="1312" t="s">
        <v>1968</v>
      </c>
      <c r="C212" s="1313"/>
      <c r="D212" s="1313"/>
      <c r="E212" s="1314">
        <f t="shared" si="31"/>
        <v>0</v>
      </c>
      <c r="J212" s="118">
        <v>0</v>
      </c>
    </row>
    <row r="213" spans="1:10">
      <c r="A213" s="1311" t="s">
        <v>1971</v>
      </c>
      <c r="B213" s="1312" t="s">
        <v>1970</v>
      </c>
      <c r="C213" s="1313"/>
      <c r="D213" s="1313"/>
      <c r="E213" s="1314">
        <f t="shared" si="31"/>
        <v>0</v>
      </c>
      <c r="J213" s="118">
        <v>0</v>
      </c>
    </row>
    <row r="214" spans="1:10">
      <c r="A214" s="1311" t="s">
        <v>1973</v>
      </c>
      <c r="B214" s="1312" t="s">
        <v>1972</v>
      </c>
      <c r="C214" s="1313"/>
      <c r="D214" s="1313"/>
      <c r="E214" s="1314">
        <f t="shared" si="31"/>
        <v>0</v>
      </c>
      <c r="J214" s="118">
        <v>0</v>
      </c>
    </row>
    <row r="215" spans="1:10">
      <c r="A215" s="1311" t="s">
        <v>1975</v>
      </c>
      <c r="B215" s="1312" t="s">
        <v>1974</v>
      </c>
      <c r="C215" s="1313"/>
      <c r="D215" s="1313"/>
      <c r="E215" s="1314">
        <f t="shared" si="31"/>
        <v>0</v>
      </c>
      <c r="J215" s="118">
        <v>0</v>
      </c>
    </row>
    <row r="216" spans="1:10" s="810" customFormat="1">
      <c r="A216" s="1311" t="s">
        <v>1977</v>
      </c>
      <c r="B216" s="1312" t="s">
        <v>1976</v>
      </c>
      <c r="C216" s="1313"/>
      <c r="D216" s="1313"/>
      <c r="E216" s="1314">
        <f t="shared" si="31"/>
        <v>0</v>
      </c>
      <c r="J216" s="119">
        <v>0</v>
      </c>
    </row>
    <row r="217" spans="1:10">
      <c r="A217" s="1311" t="s">
        <v>1979</v>
      </c>
      <c r="B217" s="1312" t="s">
        <v>1978</v>
      </c>
      <c r="C217" s="1313"/>
      <c r="D217" s="1313"/>
      <c r="E217" s="1314">
        <f t="shared" si="31"/>
        <v>0</v>
      </c>
      <c r="J217" s="118">
        <v>0</v>
      </c>
    </row>
    <row r="218" spans="1:10">
      <c r="A218" s="1311" t="s">
        <v>1981</v>
      </c>
      <c r="B218" s="1312" t="s">
        <v>1980</v>
      </c>
      <c r="C218" s="1313"/>
      <c r="D218" s="1313"/>
      <c r="E218" s="1314">
        <f t="shared" si="31"/>
        <v>0</v>
      </c>
      <c r="J218" s="118">
        <v>0</v>
      </c>
    </row>
    <row r="219" spans="1:10">
      <c r="A219" s="1311" t="s">
        <v>1983</v>
      </c>
      <c r="B219" s="1312" t="s">
        <v>1982</v>
      </c>
      <c r="C219" s="1313"/>
      <c r="D219" s="1313"/>
      <c r="E219" s="1314">
        <f t="shared" si="31"/>
        <v>0</v>
      </c>
      <c r="J219" s="118">
        <v>0</v>
      </c>
    </row>
    <row r="220" spans="1:10" ht="12.75" thickBot="1">
      <c r="A220" s="1304" t="s">
        <v>1985</v>
      </c>
      <c r="B220" s="1315" t="s">
        <v>1984</v>
      </c>
      <c r="C220" s="1316"/>
      <c r="D220" s="1316"/>
      <c r="E220" s="1317">
        <f t="shared" si="31"/>
        <v>0</v>
      </c>
      <c r="J220" s="118">
        <v>0</v>
      </c>
    </row>
    <row r="221" spans="1:10" s="810" customFormat="1" ht="12.75" thickBot="1">
      <c r="A221" s="1318" t="s">
        <v>1986</v>
      </c>
      <c r="B221" s="1319" t="s">
        <v>2684</v>
      </c>
      <c r="C221" s="1320">
        <f>SUM(C222:C231)</f>
        <v>0</v>
      </c>
      <c r="D221" s="1320">
        <f>SUM(D222:D231)</f>
        <v>0</v>
      </c>
      <c r="E221" s="1321">
        <f>SUM(E222:E231)</f>
        <v>0</v>
      </c>
      <c r="G221" s="118">
        <f>+'1.mell._Össz_Mérleg2019'!E168</f>
        <v>0</v>
      </c>
      <c r="H221" s="118">
        <f>+G221-E221</f>
        <v>0</v>
      </c>
      <c r="I221" s="118"/>
      <c r="J221" s="119">
        <v>0</v>
      </c>
    </row>
    <row r="222" spans="1:10" s="810" customFormat="1">
      <c r="A222" s="1322" t="s">
        <v>1988</v>
      </c>
      <c r="B222" s="1323" t="s">
        <v>1987</v>
      </c>
      <c r="C222" s="1324"/>
      <c r="D222" s="1324"/>
      <c r="E222" s="1325">
        <f t="shared" ref="E222:E231" si="32">+C222+D222</f>
        <v>0</v>
      </c>
      <c r="J222" s="119">
        <v>0</v>
      </c>
    </row>
    <row r="223" spans="1:10" s="810" customFormat="1">
      <c r="A223" s="1311" t="s">
        <v>1990</v>
      </c>
      <c r="B223" s="1312" t="s">
        <v>1989</v>
      </c>
      <c r="C223" s="1313"/>
      <c r="D223" s="1313"/>
      <c r="E223" s="1314">
        <f t="shared" si="32"/>
        <v>0</v>
      </c>
      <c r="J223" s="119">
        <v>0</v>
      </c>
    </row>
    <row r="224" spans="1:10">
      <c r="A224" s="1311" t="s">
        <v>1992</v>
      </c>
      <c r="B224" s="1312" t="s">
        <v>1991</v>
      </c>
      <c r="C224" s="1313"/>
      <c r="D224" s="1313"/>
      <c r="E224" s="1314">
        <f t="shared" si="32"/>
        <v>0</v>
      </c>
      <c r="J224" s="118">
        <v>0</v>
      </c>
    </row>
    <row r="225" spans="1:10">
      <c r="A225" s="1311" t="s">
        <v>1994</v>
      </c>
      <c r="B225" s="1312" t="s">
        <v>1993</v>
      </c>
      <c r="C225" s="1313"/>
      <c r="D225" s="1313"/>
      <c r="E225" s="1314">
        <f t="shared" si="32"/>
        <v>0</v>
      </c>
      <c r="J225" s="118">
        <v>0</v>
      </c>
    </row>
    <row r="226" spans="1:10">
      <c r="A226" s="1311" t="s">
        <v>1996</v>
      </c>
      <c r="B226" s="1312" t="s">
        <v>1995</v>
      </c>
      <c r="C226" s="1313"/>
      <c r="D226" s="1313"/>
      <c r="E226" s="1314">
        <f t="shared" si="32"/>
        <v>0</v>
      </c>
      <c r="J226" s="118">
        <v>0</v>
      </c>
    </row>
    <row r="227" spans="1:10">
      <c r="A227" s="1311" t="s">
        <v>1998</v>
      </c>
      <c r="B227" s="1312" t="s">
        <v>1997</v>
      </c>
      <c r="C227" s="1313"/>
      <c r="D227" s="1313"/>
      <c r="E227" s="1314">
        <f t="shared" si="32"/>
        <v>0</v>
      </c>
      <c r="J227" s="118">
        <v>0</v>
      </c>
    </row>
    <row r="228" spans="1:10">
      <c r="A228" s="1311" t="s">
        <v>2000</v>
      </c>
      <c r="B228" s="1312" t="s">
        <v>1999</v>
      </c>
      <c r="C228" s="1313"/>
      <c r="D228" s="1313"/>
      <c r="E228" s="1314">
        <f t="shared" si="32"/>
        <v>0</v>
      </c>
      <c r="J228" s="118">
        <v>0</v>
      </c>
    </row>
    <row r="229" spans="1:10">
      <c r="A229" s="1311" t="s">
        <v>2002</v>
      </c>
      <c r="B229" s="1312" t="s">
        <v>2001</v>
      </c>
      <c r="C229" s="1313"/>
      <c r="D229" s="1313"/>
      <c r="E229" s="1314">
        <f t="shared" si="32"/>
        <v>0</v>
      </c>
      <c r="J229" s="118">
        <v>0</v>
      </c>
    </row>
    <row r="230" spans="1:10">
      <c r="A230" s="1311" t="s">
        <v>2004</v>
      </c>
      <c r="B230" s="1312" t="s">
        <v>2003</v>
      </c>
      <c r="C230" s="1313"/>
      <c r="D230" s="1313"/>
      <c r="E230" s="1314">
        <f t="shared" si="32"/>
        <v>0</v>
      </c>
      <c r="J230" s="118">
        <v>0</v>
      </c>
    </row>
    <row r="231" spans="1:10" ht="12.75" thickBot="1">
      <c r="A231" s="1304" t="s">
        <v>2006</v>
      </c>
      <c r="B231" s="1315" t="s">
        <v>2005</v>
      </c>
      <c r="C231" s="1316"/>
      <c r="D231" s="1316"/>
      <c r="E231" s="1317">
        <f t="shared" si="32"/>
        <v>0</v>
      </c>
      <c r="J231" s="118">
        <v>0</v>
      </c>
    </row>
    <row r="232" spans="1:10" ht="12.75" thickBot="1">
      <c r="A232" s="1318" t="s">
        <v>2007</v>
      </c>
      <c r="B232" s="1319" t="s">
        <v>2685</v>
      </c>
      <c r="C232" s="1320">
        <f>SUM(C233:C242)</f>
        <v>0</v>
      </c>
      <c r="D232" s="1320">
        <f>SUM(D233:D242)</f>
        <v>0</v>
      </c>
      <c r="E232" s="1321">
        <f>SUM(E233:E242)</f>
        <v>0</v>
      </c>
      <c r="G232" s="118">
        <f>+'1.mell._Össz_Mérleg2019'!E169</f>
        <v>0</v>
      </c>
      <c r="H232" s="118">
        <f>+G232-E232</f>
        <v>0</v>
      </c>
      <c r="I232" s="118"/>
      <c r="J232" s="118">
        <v>0</v>
      </c>
    </row>
    <row r="233" spans="1:10">
      <c r="A233" s="1322" t="s">
        <v>2009</v>
      </c>
      <c r="B233" s="1323" t="s">
        <v>2008</v>
      </c>
      <c r="C233" s="1324"/>
      <c r="D233" s="1324"/>
      <c r="E233" s="1325">
        <f t="shared" ref="E233:E242" si="33">+C233+D233</f>
        <v>0</v>
      </c>
      <c r="J233" s="118">
        <v>0</v>
      </c>
    </row>
    <row r="234" spans="1:10" s="810" customFormat="1">
      <c r="A234" s="1311" t="s">
        <v>2011</v>
      </c>
      <c r="B234" s="1312" t="s">
        <v>2010</v>
      </c>
      <c r="C234" s="1313"/>
      <c r="D234" s="1313"/>
      <c r="E234" s="1314">
        <f t="shared" si="33"/>
        <v>0</v>
      </c>
      <c r="J234" s="119">
        <v>0</v>
      </c>
    </row>
    <row r="235" spans="1:10">
      <c r="A235" s="1311" t="s">
        <v>2013</v>
      </c>
      <c r="B235" s="1312" t="s">
        <v>2012</v>
      </c>
      <c r="C235" s="1313"/>
      <c r="D235" s="1313"/>
      <c r="E235" s="1314">
        <f t="shared" si="33"/>
        <v>0</v>
      </c>
      <c r="J235" s="118">
        <v>0</v>
      </c>
    </row>
    <row r="236" spans="1:10">
      <c r="A236" s="1311" t="s">
        <v>2015</v>
      </c>
      <c r="B236" s="1312" t="s">
        <v>2014</v>
      </c>
      <c r="C236" s="1313"/>
      <c r="D236" s="1313"/>
      <c r="E236" s="1314">
        <f t="shared" si="33"/>
        <v>0</v>
      </c>
      <c r="J236" s="118">
        <v>0</v>
      </c>
    </row>
    <row r="237" spans="1:10">
      <c r="A237" s="1311" t="s">
        <v>2017</v>
      </c>
      <c r="B237" s="1312" t="s">
        <v>2016</v>
      </c>
      <c r="C237" s="1313"/>
      <c r="D237" s="1313"/>
      <c r="E237" s="1314">
        <f t="shared" si="33"/>
        <v>0</v>
      </c>
      <c r="J237" s="118">
        <v>0</v>
      </c>
    </row>
    <row r="238" spans="1:10">
      <c r="A238" s="1311" t="s">
        <v>2019</v>
      </c>
      <c r="B238" s="1312" t="s">
        <v>2018</v>
      </c>
      <c r="C238" s="1313"/>
      <c r="D238" s="1313"/>
      <c r="E238" s="1314">
        <f t="shared" si="33"/>
        <v>0</v>
      </c>
      <c r="J238" s="118">
        <v>0</v>
      </c>
    </row>
    <row r="239" spans="1:10">
      <c r="A239" s="1311" t="s">
        <v>2021</v>
      </c>
      <c r="B239" s="1312" t="s">
        <v>2020</v>
      </c>
      <c r="C239" s="1313"/>
      <c r="D239" s="1313"/>
      <c r="E239" s="1314">
        <f t="shared" si="33"/>
        <v>0</v>
      </c>
      <c r="J239" s="118">
        <v>0</v>
      </c>
    </row>
    <row r="240" spans="1:10">
      <c r="A240" s="1311" t="s">
        <v>2023</v>
      </c>
      <c r="B240" s="1312" t="s">
        <v>2022</v>
      </c>
      <c r="C240" s="1313"/>
      <c r="D240" s="1313"/>
      <c r="E240" s="1314">
        <f t="shared" si="33"/>
        <v>0</v>
      </c>
      <c r="J240" s="118">
        <v>0</v>
      </c>
    </row>
    <row r="241" spans="1:10">
      <c r="A241" s="1311" t="s">
        <v>2025</v>
      </c>
      <c r="B241" s="1312" t="s">
        <v>2024</v>
      </c>
      <c r="C241" s="1313"/>
      <c r="D241" s="1313"/>
      <c r="E241" s="1314">
        <f t="shared" si="33"/>
        <v>0</v>
      </c>
      <c r="J241" s="118">
        <v>0</v>
      </c>
    </row>
    <row r="242" spans="1:10" ht="12.75" thickBot="1">
      <c r="A242" s="1304" t="s">
        <v>2027</v>
      </c>
      <c r="B242" s="1315" t="s">
        <v>2026</v>
      </c>
      <c r="C242" s="1316"/>
      <c r="D242" s="1316"/>
      <c r="E242" s="1317">
        <f t="shared" si="33"/>
        <v>0</v>
      </c>
      <c r="J242" s="118">
        <v>0</v>
      </c>
    </row>
    <row r="243" spans="1:10" ht="12.75" thickBot="1">
      <c r="A243" s="1318" t="s">
        <v>2028</v>
      </c>
      <c r="B243" s="1319" t="s">
        <v>2686</v>
      </c>
      <c r="C243" s="1320">
        <v>0</v>
      </c>
      <c r="D243" s="1320">
        <v>0</v>
      </c>
      <c r="E243" s="1321">
        <f>+C243+D243</f>
        <v>0</v>
      </c>
      <c r="G243" s="118">
        <f>+'1.mell._Össz_Mérleg2019'!E171</f>
        <v>0</v>
      </c>
      <c r="H243" s="118">
        <f>+G243-E243</f>
        <v>0</v>
      </c>
      <c r="I243" s="118"/>
      <c r="J243" s="118">
        <v>0</v>
      </c>
    </row>
    <row r="244" spans="1:10" ht="12.75" thickBot="1">
      <c r="A244" s="1330" t="s">
        <v>2030</v>
      </c>
      <c r="B244" s="1331" t="s">
        <v>2029</v>
      </c>
      <c r="C244" s="1332"/>
      <c r="D244" s="1332"/>
      <c r="E244" s="1333">
        <f>+C244+D244</f>
        <v>0</v>
      </c>
      <c r="J244" s="118">
        <v>0</v>
      </c>
    </row>
    <row r="245" spans="1:10" s="810" customFormat="1" ht="12.75" thickBot="1">
      <c r="A245" s="1318" t="s">
        <v>2031</v>
      </c>
      <c r="B245" s="1319" t="s">
        <v>2687</v>
      </c>
      <c r="C245" s="1320">
        <f>SUM(C246:C256)</f>
        <v>0</v>
      </c>
      <c r="D245" s="1320">
        <f>SUM(D246:D256)</f>
        <v>0</v>
      </c>
      <c r="E245" s="1321">
        <f>SUM(E246:E256)</f>
        <v>0</v>
      </c>
      <c r="G245" s="118">
        <f>+'1.mell._Össz_Mérleg2019'!E172</f>
        <v>0</v>
      </c>
      <c r="H245" s="118">
        <f>+G245-E245</f>
        <v>0</v>
      </c>
      <c r="I245" s="118"/>
      <c r="J245" s="119">
        <v>0</v>
      </c>
    </row>
    <row r="246" spans="1:10">
      <c r="A246" s="1322" t="s">
        <v>2033</v>
      </c>
      <c r="B246" s="1323" t="s">
        <v>2032</v>
      </c>
      <c r="C246" s="1324"/>
      <c r="D246" s="1324"/>
      <c r="E246" s="1325">
        <f t="shared" ref="E246:E256" si="34">+C246+D246</f>
        <v>0</v>
      </c>
      <c r="J246" s="118">
        <v>0</v>
      </c>
    </row>
    <row r="247" spans="1:10">
      <c r="A247" s="1311" t="s">
        <v>2035</v>
      </c>
      <c r="B247" s="1312" t="s">
        <v>2034</v>
      </c>
      <c r="C247" s="1313"/>
      <c r="D247" s="1313"/>
      <c r="E247" s="1314">
        <f t="shared" si="34"/>
        <v>0</v>
      </c>
      <c r="J247" s="118">
        <v>0</v>
      </c>
    </row>
    <row r="248" spans="1:10">
      <c r="A248" s="1311" t="s">
        <v>2037</v>
      </c>
      <c r="B248" s="1312" t="s">
        <v>2036</v>
      </c>
      <c r="C248" s="1313"/>
      <c r="D248" s="1313"/>
      <c r="E248" s="1314">
        <f t="shared" si="34"/>
        <v>0</v>
      </c>
      <c r="J248" s="118">
        <v>0</v>
      </c>
    </row>
    <row r="249" spans="1:10">
      <c r="A249" s="1311" t="s">
        <v>2039</v>
      </c>
      <c r="B249" s="1312" t="s">
        <v>2038</v>
      </c>
      <c r="C249" s="1313"/>
      <c r="D249" s="1313"/>
      <c r="E249" s="1314">
        <f t="shared" si="34"/>
        <v>0</v>
      </c>
      <c r="J249" s="118">
        <v>0</v>
      </c>
    </row>
    <row r="250" spans="1:10">
      <c r="A250" s="1311" t="s">
        <v>2041</v>
      </c>
      <c r="B250" s="1312" t="s">
        <v>2040</v>
      </c>
      <c r="C250" s="1313"/>
      <c r="D250" s="1313"/>
      <c r="E250" s="1314">
        <f t="shared" si="34"/>
        <v>0</v>
      </c>
      <c r="J250" s="118">
        <v>0</v>
      </c>
    </row>
    <row r="251" spans="1:10">
      <c r="A251" s="1311" t="s">
        <v>2043</v>
      </c>
      <c r="B251" s="1312" t="s">
        <v>2042</v>
      </c>
      <c r="C251" s="1313"/>
      <c r="D251" s="1313"/>
      <c r="E251" s="1314">
        <f t="shared" si="34"/>
        <v>0</v>
      </c>
      <c r="J251" s="118">
        <v>0</v>
      </c>
    </row>
    <row r="252" spans="1:10">
      <c r="A252" s="1311" t="s">
        <v>2045</v>
      </c>
      <c r="B252" s="1312" t="s">
        <v>2044</v>
      </c>
      <c r="C252" s="1313"/>
      <c r="D252" s="1313"/>
      <c r="E252" s="1314">
        <f t="shared" si="34"/>
        <v>0</v>
      </c>
      <c r="J252" s="118">
        <v>0</v>
      </c>
    </row>
    <row r="253" spans="1:10">
      <c r="A253" s="1311" t="s">
        <v>2047</v>
      </c>
      <c r="B253" s="1312" t="s">
        <v>2046</v>
      </c>
      <c r="C253" s="1313"/>
      <c r="D253" s="1313"/>
      <c r="E253" s="1314">
        <f t="shared" si="34"/>
        <v>0</v>
      </c>
      <c r="J253" s="118">
        <v>0</v>
      </c>
    </row>
    <row r="254" spans="1:10">
      <c r="A254" s="1311" t="s">
        <v>2049</v>
      </c>
      <c r="B254" s="1312" t="s">
        <v>2048</v>
      </c>
      <c r="C254" s="1313"/>
      <c r="D254" s="1313"/>
      <c r="E254" s="1314">
        <f t="shared" si="34"/>
        <v>0</v>
      </c>
      <c r="J254" s="118">
        <v>0</v>
      </c>
    </row>
    <row r="255" spans="1:10">
      <c r="A255" s="1311" t="s">
        <v>2051</v>
      </c>
      <c r="B255" s="1312" t="s">
        <v>2050</v>
      </c>
      <c r="C255" s="1313"/>
      <c r="D255" s="1313"/>
      <c r="E255" s="1314">
        <f t="shared" si="34"/>
        <v>0</v>
      </c>
      <c r="J255" s="118">
        <v>0</v>
      </c>
    </row>
    <row r="256" spans="1:10" s="810" customFormat="1" ht="12.75" thickBot="1">
      <c r="A256" s="1304" t="s">
        <v>2053</v>
      </c>
      <c r="B256" s="1315" t="s">
        <v>2052</v>
      </c>
      <c r="C256" s="1316"/>
      <c r="D256" s="1316"/>
      <c r="E256" s="1317">
        <f t="shared" si="34"/>
        <v>0</v>
      </c>
      <c r="J256" s="119">
        <v>0</v>
      </c>
    </row>
    <row r="257" spans="1:10" ht="12.75" thickBot="1">
      <c r="A257" s="1318" t="s">
        <v>2054</v>
      </c>
      <c r="B257" s="1319" t="s">
        <v>169</v>
      </c>
      <c r="C257" s="1320">
        <v>0</v>
      </c>
      <c r="D257" s="1320">
        <v>0</v>
      </c>
      <c r="E257" s="1321">
        <f>+C257+D257</f>
        <v>0</v>
      </c>
      <c r="G257" s="118">
        <f>+'1.mell._Össz_Mérleg2019'!E173</f>
        <v>0</v>
      </c>
      <c r="H257" s="118">
        <f t="shared" ref="H257:H259" si="35">+G257-E257</f>
        <v>0</v>
      </c>
      <c r="I257" s="118"/>
      <c r="J257" s="118">
        <v>0</v>
      </c>
    </row>
    <row r="258" spans="1:10" s="810" customFormat="1" ht="12.75" thickBot="1">
      <c r="A258" s="1318" t="s">
        <v>2055</v>
      </c>
      <c r="B258" s="1319" t="s">
        <v>937</v>
      </c>
      <c r="C258" s="1320"/>
      <c r="D258" s="1320"/>
      <c r="E258" s="1321">
        <f>+C258+D258</f>
        <v>0</v>
      </c>
      <c r="G258" s="118">
        <f>+'1.mell._Össz_Mérleg2019'!E174</f>
        <v>0</v>
      </c>
      <c r="H258" s="118">
        <f t="shared" si="35"/>
        <v>0</v>
      </c>
      <c r="I258" s="118"/>
      <c r="J258" s="119">
        <v>0</v>
      </c>
    </row>
    <row r="259" spans="1:10" ht="12.75" thickBot="1">
      <c r="A259" s="1318" t="s">
        <v>2056</v>
      </c>
      <c r="B259" s="1319" t="s">
        <v>2688</v>
      </c>
      <c r="C259" s="1320">
        <f>SUM(C260:C269)</f>
        <v>18</v>
      </c>
      <c r="D259" s="1320">
        <f>SUM(D260:D269)</f>
        <v>0</v>
      </c>
      <c r="E259" s="1321">
        <f>SUM(E260:E269)</f>
        <v>18</v>
      </c>
      <c r="G259" s="118">
        <f>+'1.mell._Össz_Mérleg2019'!E175</f>
        <v>18</v>
      </c>
      <c r="H259" s="118">
        <f t="shared" si="35"/>
        <v>0</v>
      </c>
      <c r="I259" s="118"/>
      <c r="J259" s="118">
        <v>18270</v>
      </c>
    </row>
    <row r="260" spans="1:10">
      <c r="A260" s="1322" t="s">
        <v>2058</v>
      </c>
      <c r="B260" s="1323" t="s">
        <v>2057</v>
      </c>
      <c r="C260" s="1324"/>
      <c r="D260" s="1324"/>
      <c r="E260" s="1325">
        <f t="shared" ref="E260:E269" si="36">+C260+D260</f>
        <v>0</v>
      </c>
      <c r="J260" s="118">
        <v>0</v>
      </c>
    </row>
    <row r="261" spans="1:10">
      <c r="A261" s="1311" t="s">
        <v>2060</v>
      </c>
      <c r="B261" s="1312" t="s">
        <v>2059</v>
      </c>
      <c r="C261" s="1313"/>
      <c r="D261" s="1313"/>
      <c r="E261" s="1314">
        <f t="shared" si="36"/>
        <v>0</v>
      </c>
      <c r="J261" s="118">
        <v>0</v>
      </c>
    </row>
    <row r="262" spans="1:10">
      <c r="A262" s="1311" t="s">
        <v>2062</v>
      </c>
      <c r="B262" s="1312" t="s">
        <v>2061</v>
      </c>
      <c r="C262" s="1313">
        <v>18</v>
      </c>
      <c r="D262" s="1313"/>
      <c r="E262" s="1314">
        <f t="shared" si="36"/>
        <v>18</v>
      </c>
      <c r="J262" s="118">
        <v>18270</v>
      </c>
    </row>
    <row r="263" spans="1:10">
      <c r="A263" s="1311" t="s">
        <v>2064</v>
      </c>
      <c r="B263" s="1312" t="s">
        <v>2063</v>
      </c>
      <c r="C263" s="1313"/>
      <c r="D263" s="1313"/>
      <c r="E263" s="1314">
        <f t="shared" si="36"/>
        <v>0</v>
      </c>
      <c r="J263" s="118">
        <v>0</v>
      </c>
    </row>
    <row r="264" spans="1:10">
      <c r="A264" s="1311" t="s">
        <v>2066</v>
      </c>
      <c r="B264" s="1312" t="s">
        <v>2065</v>
      </c>
      <c r="C264" s="1313"/>
      <c r="D264" s="1313"/>
      <c r="E264" s="1314">
        <f t="shared" si="36"/>
        <v>0</v>
      </c>
      <c r="J264" s="118">
        <v>0</v>
      </c>
    </row>
    <row r="265" spans="1:10">
      <c r="A265" s="1311" t="s">
        <v>2068</v>
      </c>
      <c r="B265" s="1334" t="s">
        <v>2067</v>
      </c>
      <c r="C265" s="867"/>
      <c r="D265" s="867"/>
      <c r="E265" s="868">
        <f t="shared" si="36"/>
        <v>0</v>
      </c>
      <c r="J265" s="118">
        <v>0</v>
      </c>
    </row>
    <row r="266" spans="1:10">
      <c r="A266" s="1311" t="s">
        <v>2070</v>
      </c>
      <c r="B266" s="1334" t="s">
        <v>2069</v>
      </c>
      <c r="C266" s="867"/>
      <c r="D266" s="867"/>
      <c r="E266" s="868">
        <f t="shared" si="36"/>
        <v>0</v>
      </c>
      <c r="J266" s="118">
        <v>0</v>
      </c>
    </row>
    <row r="267" spans="1:10">
      <c r="A267" s="1311" t="s">
        <v>2072</v>
      </c>
      <c r="B267" s="1334" t="s">
        <v>2071</v>
      </c>
      <c r="C267" s="867"/>
      <c r="D267" s="867"/>
      <c r="E267" s="868">
        <f t="shared" si="36"/>
        <v>0</v>
      </c>
      <c r="J267" s="118">
        <v>0</v>
      </c>
    </row>
    <row r="268" spans="1:10">
      <c r="A268" s="1311" t="s">
        <v>2074</v>
      </c>
      <c r="B268" s="1334" t="s">
        <v>2073</v>
      </c>
      <c r="C268" s="867"/>
      <c r="D268" s="867"/>
      <c r="E268" s="868">
        <f t="shared" si="36"/>
        <v>0</v>
      </c>
      <c r="J268" s="118">
        <v>0</v>
      </c>
    </row>
    <row r="269" spans="1:10" ht="12.75" thickBot="1">
      <c r="A269" s="1304" t="s">
        <v>2076</v>
      </c>
      <c r="B269" s="1335" t="s">
        <v>2075</v>
      </c>
      <c r="C269" s="870"/>
      <c r="D269" s="870"/>
      <c r="E269" s="871">
        <f t="shared" si="36"/>
        <v>0</v>
      </c>
      <c r="J269" s="118">
        <v>0</v>
      </c>
    </row>
    <row r="270" spans="1:10" s="810" customFormat="1" ht="12.75" thickBot="1">
      <c r="A270" s="1318" t="s">
        <v>2077</v>
      </c>
      <c r="B270" s="1336" t="s">
        <v>2689</v>
      </c>
      <c r="C270" s="111">
        <f>+C209+C210+C221+C232+C243+C245+C257+C258+C259</f>
        <v>18</v>
      </c>
      <c r="D270" s="111">
        <f>+D209+D210+D221+D232+D243+D245+D257+D258+D259</f>
        <v>0</v>
      </c>
      <c r="E270" s="112">
        <f>+E209+E210+E221+E232+E243+E245+E257+E258+E259</f>
        <v>18</v>
      </c>
      <c r="J270" s="119">
        <v>18270</v>
      </c>
    </row>
    <row r="271" spans="1:10" ht="12.75" thickBot="1">
      <c r="A271" s="1318" t="s">
        <v>2287</v>
      </c>
      <c r="B271" s="1336" t="s">
        <v>2690</v>
      </c>
      <c r="C271" s="111">
        <f>+C25+C26+C65+C124+C194+C203+C208+C270</f>
        <v>3032485</v>
      </c>
      <c r="D271" s="111">
        <f>+D25+D26+D65+D124+D194+D203+D208+D270</f>
        <v>0</v>
      </c>
      <c r="E271" s="112">
        <f>+E25+E26+E65+E124+E194+E203+E208+E270</f>
        <v>3032485</v>
      </c>
      <c r="G271" s="118">
        <f>+'1.mell._Össz_Mérleg2019'!E176</f>
        <v>3032485</v>
      </c>
      <c r="H271" s="118">
        <f>+G271-E271</f>
        <v>0</v>
      </c>
      <c r="I271" s="118"/>
      <c r="J271" s="118">
        <v>3032485142</v>
      </c>
    </row>
    <row r="273" spans="5:5">
      <c r="E273" s="118"/>
    </row>
    <row r="274" spans="5:5">
      <c r="E274" s="118"/>
    </row>
  </sheetData>
  <mergeCells count="1">
    <mergeCell ref="A2:E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8" fitToHeight="3" orientation="portrait" r:id="rId1"/>
  <headerFooter alignWithMargins="0">
    <oddHeader>&amp;C15. melléklet - &amp;P. oldal</oddHeader>
  </headerFooter>
  <rowBreaks count="2" manualBreakCount="2">
    <brk id="103" max="4" man="1"/>
    <brk id="209" max="4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F0"/>
  </sheetPr>
  <dimension ref="A1:J290"/>
  <sheetViews>
    <sheetView zoomScaleNormal="100" zoomScaleSheetLayoutView="85" workbookViewId="0">
      <pane ySplit="5" topLeftCell="A6" activePane="bottomLeft" state="frozen"/>
      <selection activeCell="A6" sqref="A6"/>
      <selection pane="bottomLeft" activeCell="A6" sqref="A6"/>
    </sheetView>
  </sheetViews>
  <sheetFormatPr defaultRowHeight="12"/>
  <cols>
    <col min="1" max="1" width="8.140625" style="815" customWidth="1"/>
    <col min="2" max="2" width="82" style="815" customWidth="1"/>
    <col min="3" max="5" width="19.140625" style="815" customWidth="1"/>
    <col min="6" max="6" width="9.140625" style="815"/>
    <col min="7" max="8" width="9.140625" style="815" hidden="1" customWidth="1"/>
    <col min="9" max="9" width="0" style="815" hidden="1" customWidth="1"/>
    <col min="10" max="10" width="10.85546875" style="815" hidden="1" customWidth="1"/>
    <col min="11" max="252" width="9.140625" style="815"/>
    <col min="253" max="253" width="8.140625" style="815" customWidth="1"/>
    <col min="254" max="254" width="82" style="815" customWidth="1"/>
    <col min="255" max="257" width="19.140625" style="815" customWidth="1"/>
    <col min="258" max="508" width="9.140625" style="815"/>
    <col min="509" max="509" width="8.140625" style="815" customWidth="1"/>
    <col min="510" max="510" width="82" style="815" customWidth="1"/>
    <col min="511" max="513" width="19.140625" style="815" customWidth="1"/>
    <col min="514" max="764" width="9.140625" style="815"/>
    <col min="765" max="765" width="8.140625" style="815" customWidth="1"/>
    <col min="766" max="766" width="82" style="815" customWidth="1"/>
    <col min="767" max="769" width="19.140625" style="815" customWidth="1"/>
    <col min="770" max="1020" width="9.140625" style="815"/>
    <col min="1021" max="1021" width="8.140625" style="815" customWidth="1"/>
    <col min="1022" max="1022" width="82" style="815" customWidth="1"/>
    <col min="1023" max="1025" width="19.140625" style="815" customWidth="1"/>
    <col min="1026" max="1276" width="9.140625" style="815"/>
    <col min="1277" max="1277" width="8.140625" style="815" customWidth="1"/>
    <col min="1278" max="1278" width="82" style="815" customWidth="1"/>
    <col min="1279" max="1281" width="19.140625" style="815" customWidth="1"/>
    <col min="1282" max="1532" width="9.140625" style="815"/>
    <col min="1533" max="1533" width="8.140625" style="815" customWidth="1"/>
    <col min="1534" max="1534" width="82" style="815" customWidth="1"/>
    <col min="1535" max="1537" width="19.140625" style="815" customWidth="1"/>
    <col min="1538" max="1788" width="9.140625" style="815"/>
    <col min="1789" max="1789" width="8.140625" style="815" customWidth="1"/>
    <col min="1790" max="1790" width="82" style="815" customWidth="1"/>
    <col min="1791" max="1793" width="19.140625" style="815" customWidth="1"/>
    <col min="1794" max="2044" width="9.140625" style="815"/>
    <col min="2045" max="2045" width="8.140625" style="815" customWidth="1"/>
    <col min="2046" max="2046" width="82" style="815" customWidth="1"/>
    <col min="2047" max="2049" width="19.140625" style="815" customWidth="1"/>
    <col min="2050" max="2300" width="9.140625" style="815"/>
    <col min="2301" max="2301" width="8.140625" style="815" customWidth="1"/>
    <col min="2302" max="2302" width="82" style="815" customWidth="1"/>
    <col min="2303" max="2305" width="19.140625" style="815" customWidth="1"/>
    <col min="2306" max="2556" width="9.140625" style="815"/>
    <col min="2557" max="2557" width="8.140625" style="815" customWidth="1"/>
    <col min="2558" max="2558" width="82" style="815" customWidth="1"/>
    <col min="2559" max="2561" width="19.140625" style="815" customWidth="1"/>
    <col min="2562" max="2812" width="9.140625" style="815"/>
    <col min="2813" max="2813" width="8.140625" style="815" customWidth="1"/>
    <col min="2814" max="2814" width="82" style="815" customWidth="1"/>
    <col min="2815" max="2817" width="19.140625" style="815" customWidth="1"/>
    <col min="2818" max="3068" width="9.140625" style="815"/>
    <col min="3069" max="3069" width="8.140625" style="815" customWidth="1"/>
    <col min="3070" max="3070" width="82" style="815" customWidth="1"/>
    <col min="3071" max="3073" width="19.140625" style="815" customWidth="1"/>
    <col min="3074" max="3324" width="9.140625" style="815"/>
    <col min="3325" max="3325" width="8.140625" style="815" customWidth="1"/>
    <col min="3326" max="3326" width="82" style="815" customWidth="1"/>
    <col min="3327" max="3329" width="19.140625" style="815" customWidth="1"/>
    <col min="3330" max="3580" width="9.140625" style="815"/>
    <col min="3581" max="3581" width="8.140625" style="815" customWidth="1"/>
    <col min="3582" max="3582" width="82" style="815" customWidth="1"/>
    <col min="3583" max="3585" width="19.140625" style="815" customWidth="1"/>
    <col min="3586" max="3836" width="9.140625" style="815"/>
    <col min="3837" max="3837" width="8.140625" style="815" customWidth="1"/>
    <col min="3838" max="3838" width="82" style="815" customWidth="1"/>
    <col min="3839" max="3841" width="19.140625" style="815" customWidth="1"/>
    <col min="3842" max="4092" width="9.140625" style="815"/>
    <col min="4093" max="4093" width="8.140625" style="815" customWidth="1"/>
    <col min="4094" max="4094" width="82" style="815" customWidth="1"/>
    <col min="4095" max="4097" width="19.140625" style="815" customWidth="1"/>
    <col min="4098" max="4348" width="9.140625" style="815"/>
    <col min="4349" max="4349" width="8.140625" style="815" customWidth="1"/>
    <col min="4350" max="4350" width="82" style="815" customWidth="1"/>
    <col min="4351" max="4353" width="19.140625" style="815" customWidth="1"/>
    <col min="4354" max="4604" width="9.140625" style="815"/>
    <col min="4605" max="4605" width="8.140625" style="815" customWidth="1"/>
    <col min="4606" max="4606" width="82" style="815" customWidth="1"/>
    <col min="4607" max="4609" width="19.140625" style="815" customWidth="1"/>
    <col min="4610" max="4860" width="9.140625" style="815"/>
    <col min="4861" max="4861" width="8.140625" style="815" customWidth="1"/>
    <col min="4862" max="4862" width="82" style="815" customWidth="1"/>
    <col min="4863" max="4865" width="19.140625" style="815" customWidth="1"/>
    <col min="4866" max="5116" width="9.140625" style="815"/>
    <col min="5117" max="5117" width="8.140625" style="815" customWidth="1"/>
    <col min="5118" max="5118" width="82" style="815" customWidth="1"/>
    <col min="5119" max="5121" width="19.140625" style="815" customWidth="1"/>
    <col min="5122" max="5372" width="9.140625" style="815"/>
    <col min="5373" max="5373" width="8.140625" style="815" customWidth="1"/>
    <col min="5374" max="5374" width="82" style="815" customWidth="1"/>
    <col min="5375" max="5377" width="19.140625" style="815" customWidth="1"/>
    <col min="5378" max="5628" width="9.140625" style="815"/>
    <col min="5629" max="5629" width="8.140625" style="815" customWidth="1"/>
    <col min="5630" max="5630" width="82" style="815" customWidth="1"/>
    <col min="5631" max="5633" width="19.140625" style="815" customWidth="1"/>
    <col min="5634" max="5884" width="9.140625" style="815"/>
    <col min="5885" max="5885" width="8.140625" style="815" customWidth="1"/>
    <col min="5886" max="5886" width="82" style="815" customWidth="1"/>
    <col min="5887" max="5889" width="19.140625" style="815" customWidth="1"/>
    <col min="5890" max="6140" width="9.140625" style="815"/>
    <col min="6141" max="6141" width="8.140625" style="815" customWidth="1"/>
    <col min="6142" max="6142" width="82" style="815" customWidth="1"/>
    <col min="6143" max="6145" width="19.140625" style="815" customWidth="1"/>
    <col min="6146" max="6396" width="9.140625" style="815"/>
    <col min="6397" max="6397" width="8.140625" style="815" customWidth="1"/>
    <col min="6398" max="6398" width="82" style="815" customWidth="1"/>
    <col min="6399" max="6401" width="19.140625" style="815" customWidth="1"/>
    <col min="6402" max="6652" width="9.140625" style="815"/>
    <col min="6653" max="6653" width="8.140625" style="815" customWidth="1"/>
    <col min="6654" max="6654" width="82" style="815" customWidth="1"/>
    <col min="6655" max="6657" width="19.140625" style="815" customWidth="1"/>
    <col min="6658" max="6908" width="9.140625" style="815"/>
    <col min="6909" max="6909" width="8.140625" style="815" customWidth="1"/>
    <col min="6910" max="6910" width="82" style="815" customWidth="1"/>
    <col min="6911" max="6913" width="19.140625" style="815" customWidth="1"/>
    <col min="6914" max="7164" width="9.140625" style="815"/>
    <col min="7165" max="7165" width="8.140625" style="815" customWidth="1"/>
    <col min="7166" max="7166" width="82" style="815" customWidth="1"/>
    <col min="7167" max="7169" width="19.140625" style="815" customWidth="1"/>
    <col min="7170" max="7420" width="9.140625" style="815"/>
    <col min="7421" max="7421" width="8.140625" style="815" customWidth="1"/>
    <col min="7422" max="7422" width="82" style="815" customWidth="1"/>
    <col min="7423" max="7425" width="19.140625" style="815" customWidth="1"/>
    <col min="7426" max="7676" width="9.140625" style="815"/>
    <col min="7677" max="7677" width="8.140625" style="815" customWidth="1"/>
    <col min="7678" max="7678" width="82" style="815" customWidth="1"/>
    <col min="7679" max="7681" width="19.140625" style="815" customWidth="1"/>
    <col min="7682" max="7932" width="9.140625" style="815"/>
    <col min="7933" max="7933" width="8.140625" style="815" customWidth="1"/>
    <col min="7934" max="7934" width="82" style="815" customWidth="1"/>
    <col min="7935" max="7937" width="19.140625" style="815" customWidth="1"/>
    <col min="7938" max="8188" width="9.140625" style="815"/>
    <col min="8189" max="8189" width="8.140625" style="815" customWidth="1"/>
    <col min="8190" max="8190" width="82" style="815" customWidth="1"/>
    <col min="8191" max="8193" width="19.140625" style="815" customWidth="1"/>
    <col min="8194" max="8444" width="9.140625" style="815"/>
    <col min="8445" max="8445" width="8.140625" style="815" customWidth="1"/>
    <col min="8446" max="8446" width="82" style="815" customWidth="1"/>
    <col min="8447" max="8449" width="19.140625" style="815" customWidth="1"/>
    <col min="8450" max="8700" width="9.140625" style="815"/>
    <col min="8701" max="8701" width="8.140625" style="815" customWidth="1"/>
    <col min="8702" max="8702" width="82" style="815" customWidth="1"/>
    <col min="8703" max="8705" width="19.140625" style="815" customWidth="1"/>
    <col min="8706" max="8956" width="9.140625" style="815"/>
    <col min="8957" max="8957" width="8.140625" style="815" customWidth="1"/>
    <col min="8958" max="8958" width="82" style="815" customWidth="1"/>
    <col min="8959" max="8961" width="19.140625" style="815" customWidth="1"/>
    <col min="8962" max="9212" width="9.140625" style="815"/>
    <col min="9213" max="9213" width="8.140625" style="815" customWidth="1"/>
    <col min="9214" max="9214" width="82" style="815" customWidth="1"/>
    <col min="9215" max="9217" width="19.140625" style="815" customWidth="1"/>
    <col min="9218" max="9468" width="9.140625" style="815"/>
    <col min="9469" max="9469" width="8.140625" style="815" customWidth="1"/>
    <col min="9470" max="9470" width="82" style="815" customWidth="1"/>
    <col min="9471" max="9473" width="19.140625" style="815" customWidth="1"/>
    <col min="9474" max="9724" width="9.140625" style="815"/>
    <col min="9725" max="9725" width="8.140625" style="815" customWidth="1"/>
    <col min="9726" max="9726" width="82" style="815" customWidth="1"/>
    <col min="9727" max="9729" width="19.140625" style="815" customWidth="1"/>
    <col min="9730" max="9980" width="9.140625" style="815"/>
    <col min="9981" max="9981" width="8.140625" style="815" customWidth="1"/>
    <col min="9982" max="9982" width="82" style="815" customWidth="1"/>
    <col min="9983" max="9985" width="19.140625" style="815" customWidth="1"/>
    <col min="9986" max="10236" width="9.140625" style="815"/>
    <col min="10237" max="10237" width="8.140625" style="815" customWidth="1"/>
    <col min="10238" max="10238" width="82" style="815" customWidth="1"/>
    <col min="10239" max="10241" width="19.140625" style="815" customWidth="1"/>
    <col min="10242" max="10492" width="9.140625" style="815"/>
    <col min="10493" max="10493" width="8.140625" style="815" customWidth="1"/>
    <col min="10494" max="10494" width="82" style="815" customWidth="1"/>
    <col min="10495" max="10497" width="19.140625" style="815" customWidth="1"/>
    <col min="10498" max="10748" width="9.140625" style="815"/>
    <col min="10749" max="10749" width="8.140625" style="815" customWidth="1"/>
    <col min="10750" max="10750" width="82" style="815" customWidth="1"/>
    <col min="10751" max="10753" width="19.140625" style="815" customWidth="1"/>
    <col min="10754" max="11004" width="9.140625" style="815"/>
    <col min="11005" max="11005" width="8.140625" style="815" customWidth="1"/>
    <col min="11006" max="11006" width="82" style="815" customWidth="1"/>
    <col min="11007" max="11009" width="19.140625" style="815" customWidth="1"/>
    <col min="11010" max="11260" width="9.140625" style="815"/>
    <col min="11261" max="11261" width="8.140625" style="815" customWidth="1"/>
    <col min="11262" max="11262" width="82" style="815" customWidth="1"/>
    <col min="11263" max="11265" width="19.140625" style="815" customWidth="1"/>
    <col min="11266" max="11516" width="9.140625" style="815"/>
    <col min="11517" max="11517" width="8.140625" style="815" customWidth="1"/>
    <col min="11518" max="11518" width="82" style="815" customWidth="1"/>
    <col min="11519" max="11521" width="19.140625" style="815" customWidth="1"/>
    <col min="11522" max="11772" width="9.140625" style="815"/>
    <col min="11773" max="11773" width="8.140625" style="815" customWidth="1"/>
    <col min="11774" max="11774" width="82" style="815" customWidth="1"/>
    <col min="11775" max="11777" width="19.140625" style="815" customWidth="1"/>
    <col min="11778" max="12028" width="9.140625" style="815"/>
    <col min="12029" max="12029" width="8.140625" style="815" customWidth="1"/>
    <col min="12030" max="12030" width="82" style="815" customWidth="1"/>
    <col min="12031" max="12033" width="19.140625" style="815" customWidth="1"/>
    <col min="12034" max="12284" width="9.140625" style="815"/>
    <col min="12285" max="12285" width="8.140625" style="815" customWidth="1"/>
    <col min="12286" max="12286" width="82" style="815" customWidth="1"/>
    <col min="12287" max="12289" width="19.140625" style="815" customWidth="1"/>
    <col min="12290" max="12540" width="9.140625" style="815"/>
    <col min="12541" max="12541" width="8.140625" style="815" customWidth="1"/>
    <col min="12542" max="12542" width="82" style="815" customWidth="1"/>
    <col min="12543" max="12545" width="19.140625" style="815" customWidth="1"/>
    <col min="12546" max="12796" width="9.140625" style="815"/>
    <col min="12797" max="12797" width="8.140625" style="815" customWidth="1"/>
    <col min="12798" max="12798" width="82" style="815" customWidth="1"/>
    <col min="12799" max="12801" width="19.140625" style="815" customWidth="1"/>
    <col min="12802" max="13052" width="9.140625" style="815"/>
    <col min="13053" max="13053" width="8.140625" style="815" customWidth="1"/>
    <col min="13054" max="13054" width="82" style="815" customWidth="1"/>
    <col min="13055" max="13057" width="19.140625" style="815" customWidth="1"/>
    <col min="13058" max="13308" width="9.140625" style="815"/>
    <col min="13309" max="13309" width="8.140625" style="815" customWidth="1"/>
    <col min="13310" max="13310" width="82" style="815" customWidth="1"/>
    <col min="13311" max="13313" width="19.140625" style="815" customWidth="1"/>
    <col min="13314" max="13564" width="9.140625" style="815"/>
    <col min="13565" max="13565" width="8.140625" style="815" customWidth="1"/>
    <col min="13566" max="13566" width="82" style="815" customWidth="1"/>
    <col min="13567" max="13569" width="19.140625" style="815" customWidth="1"/>
    <col min="13570" max="13820" width="9.140625" style="815"/>
    <col min="13821" max="13821" width="8.140625" style="815" customWidth="1"/>
    <col min="13822" max="13822" width="82" style="815" customWidth="1"/>
    <col min="13823" max="13825" width="19.140625" style="815" customWidth="1"/>
    <col min="13826" max="14076" width="9.140625" style="815"/>
    <col min="14077" max="14077" width="8.140625" style="815" customWidth="1"/>
    <col min="14078" max="14078" width="82" style="815" customWidth="1"/>
    <col min="14079" max="14081" width="19.140625" style="815" customWidth="1"/>
    <col min="14082" max="14332" width="9.140625" style="815"/>
    <col min="14333" max="14333" width="8.140625" style="815" customWidth="1"/>
    <col min="14334" max="14334" width="82" style="815" customWidth="1"/>
    <col min="14335" max="14337" width="19.140625" style="815" customWidth="1"/>
    <col min="14338" max="14588" width="9.140625" style="815"/>
    <col min="14589" max="14589" width="8.140625" style="815" customWidth="1"/>
    <col min="14590" max="14590" width="82" style="815" customWidth="1"/>
    <col min="14591" max="14593" width="19.140625" style="815" customWidth="1"/>
    <col min="14594" max="14844" width="9.140625" style="815"/>
    <col min="14845" max="14845" width="8.140625" style="815" customWidth="1"/>
    <col min="14846" max="14846" width="82" style="815" customWidth="1"/>
    <col min="14847" max="14849" width="19.140625" style="815" customWidth="1"/>
    <col min="14850" max="15100" width="9.140625" style="815"/>
    <col min="15101" max="15101" width="8.140625" style="815" customWidth="1"/>
    <col min="15102" max="15102" width="82" style="815" customWidth="1"/>
    <col min="15103" max="15105" width="19.140625" style="815" customWidth="1"/>
    <col min="15106" max="15356" width="9.140625" style="815"/>
    <col min="15357" max="15357" width="8.140625" style="815" customWidth="1"/>
    <col min="15358" max="15358" width="82" style="815" customWidth="1"/>
    <col min="15359" max="15361" width="19.140625" style="815" customWidth="1"/>
    <col min="15362" max="15612" width="9.140625" style="815"/>
    <col min="15613" max="15613" width="8.140625" style="815" customWidth="1"/>
    <col min="15614" max="15614" width="82" style="815" customWidth="1"/>
    <col min="15615" max="15617" width="19.140625" style="815" customWidth="1"/>
    <col min="15618" max="15868" width="9.140625" style="815"/>
    <col min="15869" max="15869" width="8.140625" style="815" customWidth="1"/>
    <col min="15870" max="15870" width="82" style="815" customWidth="1"/>
    <col min="15871" max="15873" width="19.140625" style="815" customWidth="1"/>
    <col min="15874" max="16124" width="9.140625" style="815"/>
    <col min="16125" max="16125" width="8.140625" style="815" customWidth="1"/>
    <col min="16126" max="16126" width="82" style="815" customWidth="1"/>
    <col min="16127" max="16129" width="19.140625" style="815" customWidth="1"/>
    <col min="16130" max="16384" width="9.140625" style="815"/>
  </cols>
  <sheetData>
    <row r="1" spans="1:10" ht="15.75">
      <c r="E1" s="153" t="s">
        <v>844</v>
      </c>
    </row>
    <row r="2" spans="1:10" s="1337" customFormat="1" ht="15.75">
      <c r="A2" s="1928" t="s">
        <v>1571</v>
      </c>
      <c r="B2" s="1929"/>
      <c r="C2" s="1929"/>
      <c r="D2" s="1929"/>
      <c r="E2" s="1929"/>
    </row>
    <row r="3" spans="1:10" ht="12.75" thickBot="1">
      <c r="A3" s="1338"/>
      <c r="E3" s="203" t="s">
        <v>458</v>
      </c>
    </row>
    <row r="4" spans="1:10" s="1303" customFormat="1" ht="24">
      <c r="A4" s="1300" t="s">
        <v>1589</v>
      </c>
      <c r="B4" s="1301" t="s">
        <v>7</v>
      </c>
      <c r="C4" s="1301" t="s">
        <v>1590</v>
      </c>
      <c r="D4" s="1301" t="s">
        <v>1591</v>
      </c>
      <c r="E4" s="1302" t="s">
        <v>1592</v>
      </c>
    </row>
    <row r="5" spans="1:10" ht="12.75" thickBot="1">
      <c r="A5" s="1339">
        <v>2</v>
      </c>
      <c r="B5" s="1340">
        <v>3</v>
      </c>
      <c r="C5" s="1340">
        <v>4</v>
      </c>
      <c r="D5" s="1340">
        <v>5</v>
      </c>
      <c r="E5" s="1341">
        <v>6</v>
      </c>
    </row>
    <row r="6" spans="1:10">
      <c r="A6" s="1322" t="s">
        <v>1593</v>
      </c>
      <c r="B6" s="1323" t="s">
        <v>93</v>
      </c>
      <c r="C6" s="1324">
        <v>226970</v>
      </c>
      <c r="D6" s="1324"/>
      <c r="E6" s="1325">
        <f t="shared" ref="E6:E11" si="0">+C6+D6</f>
        <v>226970</v>
      </c>
      <c r="G6" s="118">
        <f>+'1.mell._Össz_Mérleg2019'!E13</f>
        <v>226970</v>
      </c>
      <c r="H6" s="118">
        <f t="shared" ref="H6:H11" si="1">+G6-E6</f>
        <v>0</v>
      </c>
      <c r="J6" s="118">
        <v>226969763</v>
      </c>
    </row>
    <row r="7" spans="1:10">
      <c r="A7" s="1311" t="s">
        <v>1595</v>
      </c>
      <c r="B7" s="1312" t="s">
        <v>94</v>
      </c>
      <c r="C7" s="1313">
        <v>236248</v>
      </c>
      <c r="D7" s="1313"/>
      <c r="E7" s="1314">
        <f t="shared" si="0"/>
        <v>236248</v>
      </c>
      <c r="G7" s="118">
        <f>+'1.mell._Össz_Mérleg2019'!E14</f>
        <v>236248</v>
      </c>
      <c r="H7" s="118">
        <f t="shared" si="1"/>
        <v>0</v>
      </c>
      <c r="J7" s="118">
        <v>236248117</v>
      </c>
    </row>
    <row r="8" spans="1:10">
      <c r="A8" s="1311" t="s">
        <v>1597</v>
      </c>
      <c r="B8" s="1312" t="s">
        <v>2078</v>
      </c>
      <c r="C8" s="1313">
        <v>297362</v>
      </c>
      <c r="D8" s="1313"/>
      <c r="E8" s="1314">
        <f t="shared" si="0"/>
        <v>297362</v>
      </c>
      <c r="G8" s="118">
        <f>+'1.mell._Össz_Mérleg2019'!E15</f>
        <v>297362</v>
      </c>
      <c r="H8" s="118">
        <f t="shared" si="1"/>
        <v>0</v>
      </c>
      <c r="J8" s="118">
        <v>297362253</v>
      </c>
    </row>
    <row r="9" spans="1:10">
      <c r="A9" s="1311" t="s">
        <v>1599</v>
      </c>
      <c r="B9" s="1312" t="s">
        <v>96</v>
      </c>
      <c r="C9" s="1313">
        <v>22593</v>
      </c>
      <c r="D9" s="1313"/>
      <c r="E9" s="1314">
        <f t="shared" si="0"/>
        <v>22593</v>
      </c>
      <c r="G9" s="118">
        <f>+'1.mell._Össz_Mérleg2019'!E16</f>
        <v>22593</v>
      </c>
      <c r="H9" s="118">
        <f t="shared" si="1"/>
        <v>0</v>
      </c>
      <c r="J9" s="118">
        <v>22593053</v>
      </c>
    </row>
    <row r="10" spans="1:10">
      <c r="A10" s="1311" t="s">
        <v>1601</v>
      </c>
      <c r="B10" s="1312" t="s">
        <v>899</v>
      </c>
      <c r="C10" s="1313">
        <v>124100</v>
      </c>
      <c r="D10" s="1313"/>
      <c r="E10" s="1314">
        <f t="shared" si="0"/>
        <v>124100</v>
      </c>
      <c r="G10" s="118">
        <f>+'1.mell._Össz_Mérleg2019'!E17</f>
        <v>124100</v>
      </c>
      <c r="H10" s="118">
        <f t="shared" si="1"/>
        <v>0</v>
      </c>
      <c r="J10" s="118">
        <v>124099552</v>
      </c>
    </row>
    <row r="11" spans="1:10" ht="12.75" thickBot="1">
      <c r="A11" s="1304" t="s">
        <v>1603</v>
      </c>
      <c r="B11" s="1315" t="s">
        <v>900</v>
      </c>
      <c r="C11" s="1316"/>
      <c r="D11" s="1316"/>
      <c r="E11" s="1317">
        <f t="shared" si="0"/>
        <v>0</v>
      </c>
      <c r="G11" s="118">
        <f>+'1.mell._Össz_Mérleg2019'!E18</f>
        <v>0</v>
      </c>
      <c r="H11" s="118">
        <f t="shared" si="1"/>
        <v>0</v>
      </c>
      <c r="J11" s="118">
        <v>0</v>
      </c>
    </row>
    <row r="12" spans="1:10" ht="12.75" thickBot="1">
      <c r="A12" s="1318" t="s">
        <v>1605</v>
      </c>
      <c r="B12" s="1319" t="s">
        <v>2079</v>
      </c>
      <c r="C12" s="1320">
        <f>SUM(C6:C11)</f>
        <v>907273</v>
      </c>
      <c r="D12" s="1320">
        <f>SUM(D6:D11)</f>
        <v>0</v>
      </c>
      <c r="E12" s="1321">
        <f>SUM(E6:E11)</f>
        <v>907273</v>
      </c>
      <c r="J12" s="118">
        <v>907272738</v>
      </c>
    </row>
    <row r="13" spans="1:10" s="810" customFormat="1" ht="12.75" thickBot="1">
      <c r="A13" s="1318" t="s">
        <v>1607</v>
      </c>
      <c r="B13" s="1319" t="s">
        <v>97</v>
      </c>
      <c r="C13" s="1320">
        <v>3007</v>
      </c>
      <c r="D13" s="1320"/>
      <c r="E13" s="1321">
        <f>+C13+D13</f>
        <v>3007</v>
      </c>
      <c r="G13" s="118">
        <f>+'1.mell._Össz_Mérleg2019'!E19</f>
        <v>3007</v>
      </c>
      <c r="H13" s="118">
        <f t="shared" ref="H13:H15" si="2">+G13-E13</f>
        <v>0</v>
      </c>
      <c r="J13" s="119">
        <v>3007309</v>
      </c>
    </row>
    <row r="14" spans="1:10" s="810" customFormat="1" ht="12.75" thickBot="1">
      <c r="A14" s="1326" t="s">
        <v>1609</v>
      </c>
      <c r="B14" s="1327" t="s">
        <v>98</v>
      </c>
      <c r="C14" s="1328"/>
      <c r="D14" s="1328"/>
      <c r="E14" s="1329">
        <f>+C14+D14</f>
        <v>0</v>
      </c>
      <c r="G14" s="118">
        <f>+'1.mell._Össz_Mérleg2019'!E20</f>
        <v>0</v>
      </c>
      <c r="H14" s="118">
        <f t="shared" si="2"/>
        <v>0</v>
      </c>
      <c r="J14" s="119">
        <v>0</v>
      </c>
    </row>
    <row r="15" spans="1:10" s="810" customFormat="1" ht="24.75" thickBot="1">
      <c r="A15" s="1318" t="s">
        <v>1611</v>
      </c>
      <c r="B15" s="1319" t="s">
        <v>2080</v>
      </c>
      <c r="C15" s="1320">
        <f>SUM(C16:C25)</f>
        <v>0</v>
      </c>
      <c r="D15" s="1320">
        <f>SUM(D16:D25)</f>
        <v>0</v>
      </c>
      <c r="E15" s="1321">
        <f>SUM(E16:E25)</f>
        <v>0</v>
      </c>
      <c r="G15" s="118">
        <f>+'1.mell._Össz_Mérleg2019'!E21</f>
        <v>0</v>
      </c>
      <c r="H15" s="118">
        <f t="shared" si="2"/>
        <v>0</v>
      </c>
      <c r="J15" s="119">
        <v>0</v>
      </c>
    </row>
    <row r="16" spans="1:10">
      <c r="A16" s="1322" t="s">
        <v>1613</v>
      </c>
      <c r="B16" s="1323" t="s">
        <v>2081</v>
      </c>
      <c r="C16" s="1324"/>
      <c r="D16" s="1324"/>
      <c r="E16" s="1325">
        <f t="shared" ref="E16:E25" si="3">+C16+D16</f>
        <v>0</v>
      </c>
      <c r="J16" s="118">
        <v>0</v>
      </c>
    </row>
    <row r="17" spans="1:10">
      <c r="A17" s="1311" t="s">
        <v>1615</v>
      </c>
      <c r="B17" s="1312" t="s">
        <v>2082</v>
      </c>
      <c r="C17" s="1313"/>
      <c r="D17" s="1313"/>
      <c r="E17" s="1314">
        <f t="shared" si="3"/>
        <v>0</v>
      </c>
      <c r="J17" s="118">
        <v>0</v>
      </c>
    </row>
    <row r="18" spans="1:10">
      <c r="A18" s="1311" t="s">
        <v>1617</v>
      </c>
      <c r="B18" s="1312" t="s">
        <v>2083</v>
      </c>
      <c r="C18" s="1313"/>
      <c r="D18" s="1313"/>
      <c r="E18" s="1314">
        <f t="shared" si="3"/>
        <v>0</v>
      </c>
      <c r="J18" s="118">
        <v>0</v>
      </c>
    </row>
    <row r="19" spans="1:10">
      <c r="A19" s="1311" t="s">
        <v>1619</v>
      </c>
      <c r="B19" s="1312" t="s">
        <v>2084</v>
      </c>
      <c r="C19" s="1313"/>
      <c r="D19" s="1313"/>
      <c r="E19" s="1314">
        <f t="shared" si="3"/>
        <v>0</v>
      </c>
      <c r="J19" s="118">
        <v>0</v>
      </c>
    </row>
    <row r="20" spans="1:10">
      <c r="A20" s="1311" t="s">
        <v>1621</v>
      </c>
      <c r="B20" s="1312" t="s">
        <v>2085</v>
      </c>
      <c r="C20" s="1313"/>
      <c r="D20" s="1313"/>
      <c r="E20" s="1314">
        <f t="shared" si="3"/>
        <v>0</v>
      </c>
      <c r="J20" s="118">
        <v>0</v>
      </c>
    </row>
    <row r="21" spans="1:10">
      <c r="A21" s="1311" t="s">
        <v>1623</v>
      </c>
      <c r="B21" s="1312" t="s">
        <v>2086</v>
      </c>
      <c r="C21" s="1313"/>
      <c r="D21" s="1313"/>
      <c r="E21" s="1314">
        <f t="shared" si="3"/>
        <v>0</v>
      </c>
      <c r="J21" s="118">
        <v>0</v>
      </c>
    </row>
    <row r="22" spans="1:10">
      <c r="A22" s="1311" t="s">
        <v>1625</v>
      </c>
      <c r="B22" s="1312" t="s">
        <v>2087</v>
      </c>
      <c r="C22" s="1313"/>
      <c r="D22" s="1313"/>
      <c r="E22" s="1314">
        <f t="shared" si="3"/>
        <v>0</v>
      </c>
      <c r="J22" s="118">
        <v>0</v>
      </c>
    </row>
    <row r="23" spans="1:10">
      <c r="A23" s="1311" t="s">
        <v>1627</v>
      </c>
      <c r="B23" s="1312" t="s">
        <v>2088</v>
      </c>
      <c r="C23" s="1313"/>
      <c r="D23" s="1313"/>
      <c r="E23" s="1314">
        <f t="shared" si="3"/>
        <v>0</v>
      </c>
      <c r="J23" s="118">
        <v>0</v>
      </c>
    </row>
    <row r="24" spans="1:10">
      <c r="A24" s="1311" t="s">
        <v>1629</v>
      </c>
      <c r="B24" s="1312" t="s">
        <v>2089</v>
      </c>
      <c r="C24" s="1313"/>
      <c r="D24" s="1313"/>
      <c r="E24" s="1314">
        <f t="shared" si="3"/>
        <v>0</v>
      </c>
      <c r="J24" s="118">
        <v>0</v>
      </c>
    </row>
    <row r="25" spans="1:10" ht="12.75" thickBot="1">
      <c r="A25" s="1304" t="s">
        <v>1631</v>
      </c>
      <c r="B25" s="1315" t="s">
        <v>2090</v>
      </c>
      <c r="C25" s="1316"/>
      <c r="D25" s="1316"/>
      <c r="E25" s="1317">
        <f t="shared" si="3"/>
        <v>0</v>
      </c>
      <c r="J25" s="118">
        <v>0</v>
      </c>
    </row>
    <row r="26" spans="1:10" s="810" customFormat="1" ht="24.75" thickBot="1">
      <c r="A26" s="1318" t="s">
        <v>1633</v>
      </c>
      <c r="B26" s="1319" t="s">
        <v>2091</v>
      </c>
      <c r="C26" s="1320">
        <f>SUM(C27:C36)</f>
        <v>0</v>
      </c>
      <c r="D26" s="1320">
        <f>SUM(D27:D36)</f>
        <v>0</v>
      </c>
      <c r="E26" s="1321">
        <f>SUM(E27:E36)</f>
        <v>0</v>
      </c>
      <c r="G26" s="118">
        <f>+'1.mell._Össz_Mérleg2019'!E22</f>
        <v>0</v>
      </c>
      <c r="H26" s="118">
        <f>+G26-E26</f>
        <v>0</v>
      </c>
      <c r="J26" s="119">
        <v>0</v>
      </c>
    </row>
    <row r="27" spans="1:10">
      <c r="A27" s="1322" t="s">
        <v>1635</v>
      </c>
      <c r="B27" s="1323" t="s">
        <v>2092</v>
      </c>
      <c r="C27" s="1324"/>
      <c r="D27" s="1324"/>
      <c r="E27" s="1325">
        <f t="shared" ref="E27:E36" si="4">+C27+D27</f>
        <v>0</v>
      </c>
      <c r="J27" s="118">
        <v>0</v>
      </c>
    </row>
    <row r="28" spans="1:10">
      <c r="A28" s="1311" t="s">
        <v>1637</v>
      </c>
      <c r="B28" s="1312" t="s">
        <v>2093</v>
      </c>
      <c r="C28" s="1313"/>
      <c r="D28" s="1313"/>
      <c r="E28" s="1314">
        <f t="shared" si="4"/>
        <v>0</v>
      </c>
      <c r="J28" s="118">
        <v>0</v>
      </c>
    </row>
    <row r="29" spans="1:10">
      <c r="A29" s="1311" t="s">
        <v>1639</v>
      </c>
      <c r="B29" s="1312" t="s">
        <v>2094</v>
      </c>
      <c r="C29" s="1313"/>
      <c r="D29" s="1313"/>
      <c r="E29" s="1314">
        <f t="shared" si="4"/>
        <v>0</v>
      </c>
      <c r="J29" s="118">
        <v>0</v>
      </c>
    </row>
    <row r="30" spans="1:10">
      <c r="A30" s="1311" t="s">
        <v>1641</v>
      </c>
      <c r="B30" s="1312" t="s">
        <v>2095</v>
      </c>
      <c r="C30" s="1313"/>
      <c r="D30" s="1313"/>
      <c r="E30" s="1314">
        <f t="shared" si="4"/>
        <v>0</v>
      </c>
      <c r="J30" s="118">
        <v>0</v>
      </c>
    </row>
    <row r="31" spans="1:10">
      <c r="A31" s="1311" t="s">
        <v>1643</v>
      </c>
      <c r="B31" s="1312" t="s">
        <v>2096</v>
      </c>
      <c r="C31" s="1313"/>
      <c r="D31" s="1313"/>
      <c r="E31" s="1314">
        <f t="shared" si="4"/>
        <v>0</v>
      </c>
      <c r="J31" s="118">
        <v>0</v>
      </c>
    </row>
    <row r="32" spans="1:10">
      <c r="A32" s="1311" t="s">
        <v>1645</v>
      </c>
      <c r="B32" s="1312" t="s">
        <v>2097</v>
      </c>
      <c r="C32" s="1313"/>
      <c r="D32" s="1313"/>
      <c r="E32" s="1314">
        <f t="shared" si="4"/>
        <v>0</v>
      </c>
      <c r="J32" s="118">
        <v>0</v>
      </c>
    </row>
    <row r="33" spans="1:10">
      <c r="A33" s="1311" t="s">
        <v>1647</v>
      </c>
      <c r="B33" s="1312" t="s">
        <v>2098</v>
      </c>
      <c r="C33" s="1313"/>
      <c r="D33" s="1313"/>
      <c r="E33" s="1314">
        <f t="shared" si="4"/>
        <v>0</v>
      </c>
      <c r="J33" s="118">
        <v>0</v>
      </c>
    </row>
    <row r="34" spans="1:10">
      <c r="A34" s="1311" t="s">
        <v>1649</v>
      </c>
      <c r="B34" s="1312" t="s">
        <v>2099</v>
      </c>
      <c r="C34" s="1313"/>
      <c r="D34" s="1313"/>
      <c r="E34" s="1314">
        <f t="shared" si="4"/>
        <v>0</v>
      </c>
      <c r="J34" s="118">
        <v>0</v>
      </c>
    </row>
    <row r="35" spans="1:10">
      <c r="A35" s="1311" t="s">
        <v>1651</v>
      </c>
      <c r="B35" s="1312" t="s">
        <v>2100</v>
      </c>
      <c r="C35" s="1313"/>
      <c r="D35" s="1313"/>
      <c r="E35" s="1314">
        <f t="shared" si="4"/>
        <v>0</v>
      </c>
      <c r="J35" s="118">
        <v>0</v>
      </c>
    </row>
    <row r="36" spans="1:10" ht="12.75" thickBot="1">
      <c r="A36" s="1304" t="s">
        <v>1653</v>
      </c>
      <c r="B36" s="1315" t="s">
        <v>2101</v>
      </c>
      <c r="C36" s="1316"/>
      <c r="D36" s="1316"/>
      <c r="E36" s="1317">
        <f t="shared" si="4"/>
        <v>0</v>
      </c>
      <c r="J36" s="118">
        <v>0</v>
      </c>
    </row>
    <row r="37" spans="1:10" s="810" customFormat="1" ht="12.75" thickBot="1">
      <c r="A37" s="1318" t="s">
        <v>1655</v>
      </c>
      <c r="B37" s="1319" t="s">
        <v>2102</v>
      </c>
      <c r="C37" s="1320">
        <f>SUM(C38:C47)</f>
        <v>555887</v>
      </c>
      <c r="D37" s="1320">
        <f>SUM(D38:D47)</f>
        <v>0</v>
      </c>
      <c r="E37" s="1321">
        <f>SUM(E38:E47)</f>
        <v>555887</v>
      </c>
      <c r="G37" s="118">
        <f>+'1.mell._Össz_Mérleg2019'!E23</f>
        <v>555887</v>
      </c>
      <c r="H37" s="118">
        <f>+G37-E37</f>
        <v>0</v>
      </c>
      <c r="J37" s="119">
        <v>555886740</v>
      </c>
    </row>
    <row r="38" spans="1:10">
      <c r="A38" s="1322" t="s">
        <v>1657</v>
      </c>
      <c r="B38" s="1323" t="s">
        <v>2103</v>
      </c>
      <c r="C38" s="1324">
        <v>100</v>
      </c>
      <c r="D38" s="1324"/>
      <c r="E38" s="1325">
        <f t="shared" ref="E38:E47" si="5">+C38+D38</f>
        <v>100</v>
      </c>
      <c r="J38" s="118">
        <v>100000</v>
      </c>
    </row>
    <row r="39" spans="1:10">
      <c r="A39" s="1311" t="s">
        <v>1659</v>
      </c>
      <c r="B39" s="1312" t="s">
        <v>2104</v>
      </c>
      <c r="C39" s="1313"/>
      <c r="D39" s="1313"/>
      <c r="E39" s="1314">
        <f t="shared" si="5"/>
        <v>0</v>
      </c>
      <c r="J39" s="118">
        <v>0</v>
      </c>
    </row>
    <row r="40" spans="1:10">
      <c r="A40" s="1311" t="s">
        <v>1661</v>
      </c>
      <c r="B40" s="1312" t="s">
        <v>2105</v>
      </c>
      <c r="C40" s="1313">
        <v>371746</v>
      </c>
      <c r="D40" s="1313"/>
      <c r="E40" s="1314">
        <f t="shared" si="5"/>
        <v>371746</v>
      </c>
      <c r="J40" s="118">
        <v>371746233</v>
      </c>
    </row>
    <row r="41" spans="1:10">
      <c r="A41" s="1311" t="s">
        <v>1663</v>
      </c>
      <c r="B41" s="1312" t="s">
        <v>2106</v>
      </c>
      <c r="C41" s="1313">
        <v>15431</v>
      </c>
      <c r="D41" s="1313"/>
      <c r="E41" s="1314">
        <f t="shared" si="5"/>
        <v>15431</v>
      </c>
      <c r="J41" s="118">
        <v>15430598</v>
      </c>
    </row>
    <row r="42" spans="1:10">
      <c r="A42" s="1311" t="s">
        <v>1665</v>
      </c>
      <c r="B42" s="1312" t="s">
        <v>2107</v>
      </c>
      <c r="C42" s="1313"/>
      <c r="D42" s="1313"/>
      <c r="E42" s="1314">
        <f t="shared" si="5"/>
        <v>0</v>
      </c>
      <c r="J42" s="118">
        <v>0</v>
      </c>
    </row>
    <row r="43" spans="1:10">
      <c r="A43" s="1311" t="s">
        <v>1667</v>
      </c>
      <c r="B43" s="1312" t="s">
        <v>2108</v>
      </c>
      <c r="C43" s="1313">
        <v>167710</v>
      </c>
      <c r="D43" s="1313"/>
      <c r="E43" s="1314">
        <f t="shared" si="5"/>
        <v>167710</v>
      </c>
      <c r="J43" s="118">
        <v>167709909</v>
      </c>
    </row>
    <row r="44" spans="1:10">
      <c r="A44" s="1311" t="s">
        <v>1669</v>
      </c>
      <c r="B44" s="1312" t="s">
        <v>2109</v>
      </c>
      <c r="C44" s="1313"/>
      <c r="D44" s="1313"/>
      <c r="E44" s="1314">
        <f t="shared" si="5"/>
        <v>0</v>
      </c>
      <c r="J44" s="118">
        <v>0</v>
      </c>
    </row>
    <row r="45" spans="1:10">
      <c r="A45" s="1311" t="s">
        <v>1671</v>
      </c>
      <c r="B45" s="1312" t="s">
        <v>2110</v>
      </c>
      <c r="C45" s="1313">
        <v>900</v>
      </c>
      <c r="D45" s="1313"/>
      <c r="E45" s="1314">
        <f t="shared" si="5"/>
        <v>900</v>
      </c>
      <c r="J45" s="118">
        <v>900000</v>
      </c>
    </row>
    <row r="46" spans="1:10">
      <c r="A46" s="1311" t="s">
        <v>1673</v>
      </c>
      <c r="B46" s="1312" t="s">
        <v>2111</v>
      </c>
      <c r="C46" s="1313"/>
      <c r="D46" s="1313"/>
      <c r="E46" s="1314">
        <f t="shared" si="5"/>
        <v>0</v>
      </c>
      <c r="J46" s="118">
        <v>0</v>
      </c>
    </row>
    <row r="47" spans="1:10" ht="12.75" thickBot="1">
      <c r="A47" s="1304" t="s">
        <v>1675</v>
      </c>
      <c r="B47" s="1315" t="s">
        <v>2112</v>
      </c>
      <c r="C47" s="1316"/>
      <c r="D47" s="1316"/>
      <c r="E47" s="1317">
        <f t="shared" si="5"/>
        <v>0</v>
      </c>
      <c r="J47" s="118">
        <v>0</v>
      </c>
    </row>
    <row r="48" spans="1:10" ht="12.75" thickBot="1">
      <c r="A48" s="1318" t="s">
        <v>1677</v>
      </c>
      <c r="B48" s="1319" t="s">
        <v>2113</v>
      </c>
      <c r="C48" s="1320">
        <f>+C12+C13+C14+C15+C26+C37</f>
        <v>1466167</v>
      </c>
      <c r="D48" s="1320">
        <f>+D12+D13+D14+D15+D26+D37</f>
        <v>0</v>
      </c>
      <c r="E48" s="1321">
        <f>+E12+E13+E14+E15+E26+E37</f>
        <v>1466167</v>
      </c>
      <c r="J48" s="118">
        <v>1466166787</v>
      </c>
    </row>
    <row r="49" spans="1:10" ht="12.75" thickBot="1">
      <c r="A49" s="1342" t="s">
        <v>1679</v>
      </c>
      <c r="B49" s="1343" t="s">
        <v>116</v>
      </c>
      <c r="C49" s="1344">
        <v>382626</v>
      </c>
      <c r="D49" s="1344"/>
      <c r="E49" s="1345">
        <f>+C49+D49</f>
        <v>382626</v>
      </c>
      <c r="G49" s="118">
        <f>+'1.mell._Össz_Mérleg2019'!E52</f>
        <v>382626</v>
      </c>
      <c r="H49" s="118">
        <f t="shared" ref="H49:H51" si="6">+G49-E49</f>
        <v>0</v>
      </c>
      <c r="J49" s="118">
        <v>382626000</v>
      </c>
    </row>
    <row r="50" spans="1:10" ht="24.75" thickBot="1">
      <c r="A50" s="1318" t="s">
        <v>1681</v>
      </c>
      <c r="B50" s="1319" t="s">
        <v>117</v>
      </c>
      <c r="C50" s="1320"/>
      <c r="D50" s="1320"/>
      <c r="E50" s="1321">
        <f>+C50+D50</f>
        <v>0</v>
      </c>
      <c r="G50" s="118">
        <f>+'1.mell._Össz_Mérleg2019'!E53</f>
        <v>0</v>
      </c>
      <c r="H50" s="118">
        <f t="shared" si="6"/>
        <v>0</v>
      </c>
      <c r="J50" s="118">
        <v>0</v>
      </c>
    </row>
    <row r="51" spans="1:10" ht="24.75" thickBot="1">
      <c r="A51" s="1346" t="s">
        <v>1683</v>
      </c>
      <c r="B51" s="1347" t="s">
        <v>2114</v>
      </c>
      <c r="C51" s="1348">
        <f>SUM(C52:C61)</f>
        <v>0</v>
      </c>
      <c r="D51" s="1348">
        <f>SUM(D52:D61)</f>
        <v>0</v>
      </c>
      <c r="E51" s="1349">
        <f>SUM(E52:E61)</f>
        <v>0</v>
      </c>
      <c r="G51" s="118">
        <f>+'1.mell._Össz_Mérleg2019'!E54</f>
        <v>0</v>
      </c>
      <c r="H51" s="118">
        <f t="shared" si="6"/>
        <v>0</v>
      </c>
      <c r="J51" s="118">
        <v>0</v>
      </c>
    </row>
    <row r="52" spans="1:10">
      <c r="A52" s="1322" t="s">
        <v>1685</v>
      </c>
      <c r="B52" s="1323" t="s">
        <v>2115</v>
      </c>
      <c r="C52" s="1324"/>
      <c r="D52" s="1324"/>
      <c r="E52" s="1325">
        <f t="shared" ref="E52:E61" si="7">+C52+D52</f>
        <v>0</v>
      </c>
      <c r="J52" s="118">
        <v>0</v>
      </c>
    </row>
    <row r="53" spans="1:10">
      <c r="A53" s="1311" t="s">
        <v>1687</v>
      </c>
      <c r="B53" s="1312" t="s">
        <v>2116</v>
      </c>
      <c r="C53" s="1313"/>
      <c r="D53" s="1313"/>
      <c r="E53" s="1314">
        <f t="shared" si="7"/>
        <v>0</v>
      </c>
      <c r="G53" s="118"/>
      <c r="J53" s="118">
        <v>0</v>
      </c>
    </row>
    <row r="54" spans="1:10">
      <c r="A54" s="1311" t="s">
        <v>1689</v>
      </c>
      <c r="B54" s="1312" t="s">
        <v>2117</v>
      </c>
      <c r="C54" s="1313"/>
      <c r="D54" s="1313"/>
      <c r="E54" s="1314">
        <f t="shared" si="7"/>
        <v>0</v>
      </c>
      <c r="J54" s="118">
        <v>0</v>
      </c>
    </row>
    <row r="55" spans="1:10">
      <c r="A55" s="1311" t="s">
        <v>1691</v>
      </c>
      <c r="B55" s="1312" t="s">
        <v>2118</v>
      </c>
      <c r="C55" s="1313"/>
      <c r="D55" s="1313"/>
      <c r="E55" s="1314">
        <f t="shared" si="7"/>
        <v>0</v>
      </c>
      <c r="J55" s="118">
        <v>0</v>
      </c>
    </row>
    <row r="56" spans="1:10">
      <c r="A56" s="1311" t="s">
        <v>1693</v>
      </c>
      <c r="B56" s="1312" t="s">
        <v>2119</v>
      </c>
      <c r="C56" s="1313"/>
      <c r="D56" s="1313"/>
      <c r="E56" s="1314">
        <f t="shared" si="7"/>
        <v>0</v>
      </c>
      <c r="J56" s="118">
        <v>0</v>
      </c>
    </row>
    <row r="57" spans="1:10">
      <c r="A57" s="1311" t="s">
        <v>1695</v>
      </c>
      <c r="B57" s="1312" t="s">
        <v>2120</v>
      </c>
      <c r="C57" s="1313"/>
      <c r="D57" s="1313"/>
      <c r="E57" s="1314">
        <f t="shared" si="7"/>
        <v>0</v>
      </c>
      <c r="J57" s="118">
        <v>0</v>
      </c>
    </row>
    <row r="58" spans="1:10">
      <c r="A58" s="1311" t="s">
        <v>1697</v>
      </c>
      <c r="B58" s="1312" t="s">
        <v>2121</v>
      </c>
      <c r="C58" s="1313"/>
      <c r="D58" s="1313"/>
      <c r="E58" s="1314">
        <f t="shared" si="7"/>
        <v>0</v>
      </c>
      <c r="J58" s="118">
        <v>0</v>
      </c>
    </row>
    <row r="59" spans="1:10">
      <c r="A59" s="1311" t="s">
        <v>1699</v>
      </c>
      <c r="B59" s="1312" t="s">
        <v>2122</v>
      </c>
      <c r="C59" s="1313"/>
      <c r="D59" s="1313"/>
      <c r="E59" s="1314">
        <f t="shared" si="7"/>
        <v>0</v>
      </c>
      <c r="J59" s="118">
        <v>0</v>
      </c>
    </row>
    <row r="60" spans="1:10">
      <c r="A60" s="1311" t="s">
        <v>1701</v>
      </c>
      <c r="B60" s="1312" t="s">
        <v>2123</v>
      </c>
      <c r="C60" s="1313"/>
      <c r="D60" s="1313"/>
      <c r="E60" s="1314">
        <f t="shared" si="7"/>
        <v>0</v>
      </c>
      <c r="J60" s="118">
        <v>0</v>
      </c>
    </row>
    <row r="61" spans="1:10" ht="12.75" thickBot="1">
      <c r="A61" s="1304" t="s">
        <v>1703</v>
      </c>
      <c r="B61" s="1315" t="s">
        <v>2124</v>
      </c>
      <c r="C61" s="1316"/>
      <c r="D61" s="1316"/>
      <c r="E61" s="1317">
        <f t="shared" si="7"/>
        <v>0</v>
      </c>
      <c r="J61" s="118">
        <v>0</v>
      </c>
    </row>
    <row r="62" spans="1:10" s="810" customFormat="1" ht="24.75" thickBot="1">
      <c r="A62" s="1318" t="s">
        <v>1705</v>
      </c>
      <c r="B62" s="1319" t="s">
        <v>2125</v>
      </c>
      <c r="C62" s="1320">
        <f>SUM(C63:C72)</f>
        <v>0</v>
      </c>
      <c r="D62" s="1320">
        <f>SUM(D63:D72)</f>
        <v>0</v>
      </c>
      <c r="E62" s="1321">
        <f>SUM(E63:E72)</f>
        <v>0</v>
      </c>
      <c r="G62" s="118">
        <f>+'1.mell._Össz_Mérleg2019'!E55</f>
        <v>0</v>
      </c>
      <c r="H62" s="118">
        <f>+G62-E62</f>
        <v>0</v>
      </c>
      <c r="J62" s="119">
        <v>0</v>
      </c>
    </row>
    <row r="63" spans="1:10">
      <c r="A63" s="1322" t="s">
        <v>1707</v>
      </c>
      <c r="B63" s="1323" t="s">
        <v>2126</v>
      </c>
      <c r="C63" s="1324"/>
      <c r="D63" s="1324"/>
      <c r="E63" s="1325">
        <f t="shared" ref="E63:E71" si="8">+C63+D63</f>
        <v>0</v>
      </c>
      <c r="J63" s="118">
        <v>0</v>
      </c>
    </row>
    <row r="64" spans="1:10">
      <c r="A64" s="1311" t="s">
        <v>1709</v>
      </c>
      <c r="B64" s="1312" t="s">
        <v>2127</v>
      </c>
      <c r="C64" s="1313"/>
      <c r="D64" s="1313"/>
      <c r="E64" s="1314">
        <f t="shared" si="8"/>
        <v>0</v>
      </c>
      <c r="J64" s="118">
        <v>0</v>
      </c>
    </row>
    <row r="65" spans="1:10">
      <c r="A65" s="1311" t="s">
        <v>1711</v>
      </c>
      <c r="B65" s="1312" t="s">
        <v>2128</v>
      </c>
      <c r="C65" s="1313"/>
      <c r="D65" s="1313"/>
      <c r="E65" s="1314">
        <f t="shared" si="8"/>
        <v>0</v>
      </c>
      <c r="J65" s="118">
        <v>0</v>
      </c>
    </row>
    <row r="66" spans="1:10">
      <c r="A66" s="1311" t="s">
        <v>1713</v>
      </c>
      <c r="B66" s="1312" t="s">
        <v>2129</v>
      </c>
      <c r="C66" s="1313"/>
      <c r="D66" s="1313"/>
      <c r="E66" s="1314">
        <f t="shared" si="8"/>
        <v>0</v>
      </c>
      <c r="J66" s="118">
        <v>0</v>
      </c>
    </row>
    <row r="67" spans="1:10">
      <c r="A67" s="1311" t="s">
        <v>1714</v>
      </c>
      <c r="B67" s="1312" t="s">
        <v>2130</v>
      </c>
      <c r="C67" s="1313"/>
      <c r="D67" s="1313"/>
      <c r="E67" s="1314">
        <f t="shared" si="8"/>
        <v>0</v>
      </c>
      <c r="J67" s="118">
        <v>0</v>
      </c>
    </row>
    <row r="68" spans="1:10">
      <c r="A68" s="1311" t="s">
        <v>1716</v>
      </c>
      <c r="B68" s="1312" t="s">
        <v>2131</v>
      </c>
      <c r="C68" s="1313"/>
      <c r="D68" s="1313"/>
      <c r="E68" s="1314">
        <f t="shared" si="8"/>
        <v>0</v>
      </c>
      <c r="J68" s="118">
        <v>0</v>
      </c>
    </row>
    <row r="69" spans="1:10">
      <c r="A69" s="1311" t="s">
        <v>1718</v>
      </c>
      <c r="B69" s="1312" t="s">
        <v>2132</v>
      </c>
      <c r="C69" s="1313"/>
      <c r="D69" s="1313"/>
      <c r="E69" s="1314">
        <f t="shared" si="8"/>
        <v>0</v>
      </c>
      <c r="J69" s="118">
        <v>0</v>
      </c>
    </row>
    <row r="70" spans="1:10">
      <c r="A70" s="1311" t="s">
        <v>1720</v>
      </c>
      <c r="B70" s="1312" t="s">
        <v>2133</v>
      </c>
      <c r="C70" s="1313"/>
      <c r="D70" s="1313"/>
      <c r="E70" s="1314">
        <f t="shared" si="8"/>
        <v>0</v>
      </c>
      <c r="J70" s="118">
        <v>0</v>
      </c>
    </row>
    <row r="71" spans="1:10">
      <c r="A71" s="1311" t="s">
        <v>1722</v>
      </c>
      <c r="B71" s="1312" t="s">
        <v>2134</v>
      </c>
      <c r="C71" s="1313"/>
      <c r="D71" s="1313"/>
      <c r="E71" s="1314">
        <f t="shared" si="8"/>
        <v>0</v>
      </c>
      <c r="J71" s="118">
        <v>0</v>
      </c>
    </row>
    <row r="72" spans="1:10" ht="12.75" thickBot="1">
      <c r="A72" s="1304" t="s">
        <v>1724</v>
      </c>
      <c r="B72" s="1315" t="s">
        <v>2135</v>
      </c>
      <c r="C72" s="1316"/>
      <c r="D72" s="1316"/>
      <c r="E72" s="1317">
        <f>+C72+D72</f>
        <v>0</v>
      </c>
      <c r="J72" s="118">
        <v>0</v>
      </c>
    </row>
    <row r="73" spans="1:10" ht="12.75" thickBot="1">
      <c r="A73" s="1318" t="s">
        <v>1726</v>
      </c>
      <c r="B73" s="1319" t="s">
        <v>2136</v>
      </c>
      <c r="C73" s="1320">
        <f>SUM(C74:C83)</f>
        <v>833082</v>
      </c>
      <c r="D73" s="1320">
        <f>SUM(D74:D83)</f>
        <v>0</v>
      </c>
      <c r="E73" s="1321">
        <f>SUM(E74:E83)</f>
        <v>833082</v>
      </c>
      <c r="G73" s="118">
        <f>+'1.mell._Össz_Mérleg2019'!E56</f>
        <v>833082</v>
      </c>
      <c r="H73" s="118">
        <f>+G73-E73</f>
        <v>0</v>
      </c>
      <c r="J73" s="118">
        <v>833081908</v>
      </c>
    </row>
    <row r="74" spans="1:10">
      <c r="A74" s="1322" t="s">
        <v>1728</v>
      </c>
      <c r="B74" s="1323" t="s">
        <v>2137</v>
      </c>
      <c r="C74" s="1324"/>
      <c r="D74" s="1324"/>
      <c r="E74" s="1325">
        <f t="shared" ref="E74:E83" si="9">+C74+D74</f>
        <v>0</v>
      </c>
      <c r="J74" s="118">
        <v>0</v>
      </c>
    </row>
    <row r="75" spans="1:10">
      <c r="A75" s="1311" t="s">
        <v>1730</v>
      </c>
      <c r="B75" s="1312" t="s">
        <v>2138</v>
      </c>
      <c r="C75" s="1313"/>
      <c r="D75" s="1313"/>
      <c r="E75" s="1314">
        <f t="shared" si="9"/>
        <v>0</v>
      </c>
      <c r="J75" s="118">
        <v>0</v>
      </c>
    </row>
    <row r="76" spans="1:10">
      <c r="A76" s="1311" t="s">
        <v>1732</v>
      </c>
      <c r="B76" s="1312" t="s">
        <v>2139</v>
      </c>
      <c r="C76" s="1313">
        <v>828473</v>
      </c>
      <c r="D76" s="1313"/>
      <c r="E76" s="1314">
        <f t="shared" si="9"/>
        <v>828473</v>
      </c>
      <c r="J76" s="118">
        <v>828472549</v>
      </c>
    </row>
    <row r="77" spans="1:10">
      <c r="A77" s="1311" t="s">
        <v>1734</v>
      </c>
      <c r="B77" s="1312" t="s">
        <v>2140</v>
      </c>
      <c r="C77" s="1313"/>
      <c r="D77" s="1313"/>
      <c r="E77" s="1314">
        <f t="shared" si="9"/>
        <v>0</v>
      </c>
      <c r="J77" s="118">
        <v>0</v>
      </c>
    </row>
    <row r="78" spans="1:10">
      <c r="A78" s="1311" t="s">
        <v>1736</v>
      </c>
      <c r="B78" s="1312" t="s">
        <v>2141</v>
      </c>
      <c r="C78" s="1313"/>
      <c r="D78" s="1313"/>
      <c r="E78" s="1314">
        <f t="shared" si="9"/>
        <v>0</v>
      </c>
      <c r="J78" s="118">
        <v>0</v>
      </c>
    </row>
    <row r="79" spans="1:10">
      <c r="A79" s="1311" t="s">
        <v>1737</v>
      </c>
      <c r="B79" s="1312" t="s">
        <v>2142</v>
      </c>
      <c r="C79" s="1313">
        <v>4609</v>
      </c>
      <c r="D79" s="1313"/>
      <c r="E79" s="1314">
        <f t="shared" si="9"/>
        <v>4609</v>
      </c>
      <c r="J79" s="118">
        <v>4609359</v>
      </c>
    </row>
    <row r="80" spans="1:10">
      <c r="A80" s="1311" t="s">
        <v>1738</v>
      </c>
      <c r="B80" s="1312" t="s">
        <v>2143</v>
      </c>
      <c r="C80" s="1313"/>
      <c r="D80" s="1313"/>
      <c r="E80" s="1314">
        <f t="shared" si="9"/>
        <v>0</v>
      </c>
      <c r="J80" s="118">
        <v>0</v>
      </c>
    </row>
    <row r="81" spans="1:10">
      <c r="A81" s="1311" t="s">
        <v>1740</v>
      </c>
      <c r="B81" s="1312" t="s">
        <v>2144</v>
      </c>
      <c r="C81" s="1313"/>
      <c r="D81" s="1313"/>
      <c r="E81" s="1314">
        <f t="shared" si="9"/>
        <v>0</v>
      </c>
      <c r="J81" s="118">
        <v>0</v>
      </c>
    </row>
    <row r="82" spans="1:10">
      <c r="A82" s="1311" t="s">
        <v>1742</v>
      </c>
      <c r="B82" s="1312" t="s">
        <v>2145</v>
      </c>
      <c r="C82" s="1313"/>
      <c r="D82" s="1313"/>
      <c r="E82" s="1314">
        <f t="shared" si="9"/>
        <v>0</v>
      </c>
      <c r="J82" s="118">
        <v>0</v>
      </c>
    </row>
    <row r="83" spans="1:10" ht="12.75" thickBot="1">
      <c r="A83" s="1304" t="s">
        <v>1744</v>
      </c>
      <c r="B83" s="1315" t="s">
        <v>2146</v>
      </c>
      <c r="C83" s="1316"/>
      <c r="D83" s="1316"/>
      <c r="E83" s="1317">
        <f t="shared" si="9"/>
        <v>0</v>
      </c>
      <c r="J83" s="118">
        <v>0</v>
      </c>
    </row>
    <row r="84" spans="1:10" ht="12.75" thickBot="1">
      <c r="A84" s="1318" t="s">
        <v>1746</v>
      </c>
      <c r="B84" s="1319" t="s">
        <v>2147</v>
      </c>
      <c r="C84" s="1320">
        <f>+C49+C50+C51+C62+C73</f>
        <v>1215708</v>
      </c>
      <c r="D84" s="1320">
        <f>+D49+D50+D51+D62+D73</f>
        <v>0</v>
      </c>
      <c r="E84" s="1321">
        <f>+E49+E50+E51+E62+E73</f>
        <v>1215708</v>
      </c>
      <c r="J84" s="118">
        <v>1215707908</v>
      </c>
    </row>
    <row r="85" spans="1:10" s="810" customFormat="1" ht="12.75" thickBot="1">
      <c r="A85" s="1318" t="s">
        <v>1748</v>
      </c>
      <c r="B85" s="1319" t="s">
        <v>2691</v>
      </c>
      <c r="C85" s="1320">
        <f>SUM(C86:C87)</f>
        <v>57</v>
      </c>
      <c r="D85" s="1320">
        <f>SUM(D86:D87)</f>
        <v>0</v>
      </c>
      <c r="E85" s="1321">
        <f>SUM(E86:E87)</f>
        <v>57</v>
      </c>
      <c r="J85" s="119">
        <v>57506</v>
      </c>
    </row>
    <row r="86" spans="1:10">
      <c r="A86" s="1322" t="s">
        <v>1750</v>
      </c>
      <c r="B86" s="1323" t="s">
        <v>2148</v>
      </c>
      <c r="C86" s="1324"/>
      <c r="D86" s="1324"/>
      <c r="E86" s="1325">
        <f>+C86+D86</f>
        <v>0</v>
      </c>
      <c r="J86" s="118">
        <v>0</v>
      </c>
    </row>
    <row r="87" spans="1:10" ht="12.75" thickBot="1">
      <c r="A87" s="1304" t="s">
        <v>1752</v>
      </c>
      <c r="B87" s="1315" t="s">
        <v>2149</v>
      </c>
      <c r="C87" s="1316">
        <v>57</v>
      </c>
      <c r="D87" s="1316"/>
      <c r="E87" s="1317">
        <f>+C87+D87</f>
        <v>57</v>
      </c>
      <c r="J87" s="118">
        <v>57506</v>
      </c>
    </row>
    <row r="88" spans="1:10" s="810" customFormat="1" ht="12.75" thickBot="1">
      <c r="A88" s="1318" t="s">
        <v>1754</v>
      </c>
      <c r="B88" s="1319" t="s">
        <v>2692</v>
      </c>
      <c r="C88" s="1320">
        <f>SUM(C89:C96)</f>
        <v>0</v>
      </c>
      <c r="D88" s="1320">
        <f>SUM(D89:D96)</f>
        <v>0</v>
      </c>
      <c r="E88" s="1321">
        <f>SUM(E89:E96)</f>
        <v>0</v>
      </c>
      <c r="J88" s="119">
        <v>0</v>
      </c>
    </row>
    <row r="89" spans="1:10">
      <c r="A89" s="1322" t="s">
        <v>1755</v>
      </c>
      <c r="B89" s="1323" t="s">
        <v>2150</v>
      </c>
      <c r="C89" s="1324"/>
      <c r="D89" s="1324"/>
      <c r="E89" s="1325">
        <f t="shared" ref="E89:E96" si="10">+C89+D89</f>
        <v>0</v>
      </c>
      <c r="J89" s="118">
        <v>0</v>
      </c>
    </row>
    <row r="90" spans="1:10">
      <c r="A90" s="1311" t="s">
        <v>1757</v>
      </c>
      <c r="B90" s="1312" t="s">
        <v>2151</v>
      </c>
      <c r="C90" s="1313"/>
      <c r="D90" s="1313"/>
      <c r="E90" s="1314">
        <f t="shared" si="10"/>
        <v>0</v>
      </c>
      <c r="J90" s="118">
        <v>0</v>
      </c>
    </row>
    <row r="91" spans="1:10">
      <c r="A91" s="1311" t="s">
        <v>1759</v>
      </c>
      <c r="B91" s="1312" t="s">
        <v>2153</v>
      </c>
      <c r="C91" s="1313"/>
      <c r="D91" s="1313"/>
      <c r="E91" s="1314">
        <f t="shared" si="10"/>
        <v>0</v>
      </c>
      <c r="J91" s="118">
        <v>0</v>
      </c>
    </row>
    <row r="92" spans="1:10">
      <c r="A92" s="1311" t="s">
        <v>1761</v>
      </c>
      <c r="B92" s="1312" t="s">
        <v>2152</v>
      </c>
      <c r="C92" s="1313"/>
      <c r="D92" s="1313"/>
      <c r="E92" s="1314">
        <f t="shared" si="10"/>
        <v>0</v>
      </c>
      <c r="J92" s="118">
        <v>0</v>
      </c>
    </row>
    <row r="93" spans="1:10">
      <c r="A93" s="1311" t="s">
        <v>1763</v>
      </c>
      <c r="B93" s="1312" t="s">
        <v>2153</v>
      </c>
      <c r="C93" s="1313"/>
      <c r="D93" s="1313"/>
      <c r="E93" s="1314">
        <f t="shared" si="10"/>
        <v>0</v>
      </c>
      <c r="J93" s="118">
        <v>0</v>
      </c>
    </row>
    <row r="94" spans="1:10">
      <c r="A94" s="1311" t="s">
        <v>1765</v>
      </c>
      <c r="B94" s="1312" t="s">
        <v>2154</v>
      </c>
      <c r="C94" s="1313"/>
      <c r="D94" s="1313"/>
      <c r="E94" s="1314">
        <f t="shared" si="10"/>
        <v>0</v>
      </c>
      <c r="J94" s="118">
        <v>0</v>
      </c>
    </row>
    <row r="95" spans="1:10">
      <c r="A95" s="1311" t="s">
        <v>1767</v>
      </c>
      <c r="B95" s="1312" t="s">
        <v>2155</v>
      </c>
      <c r="C95" s="1313"/>
      <c r="D95" s="1313"/>
      <c r="E95" s="1314">
        <f t="shared" si="10"/>
        <v>0</v>
      </c>
      <c r="J95" s="118">
        <v>0</v>
      </c>
    </row>
    <row r="96" spans="1:10" ht="12.75" thickBot="1">
      <c r="A96" s="1304" t="s">
        <v>1769</v>
      </c>
      <c r="B96" s="1315" t="s">
        <v>2156</v>
      </c>
      <c r="C96" s="1316"/>
      <c r="D96" s="1316"/>
      <c r="E96" s="1317">
        <f t="shared" si="10"/>
        <v>0</v>
      </c>
      <c r="J96" s="118">
        <v>0</v>
      </c>
    </row>
    <row r="97" spans="1:10" ht="12.75" thickBot="1">
      <c r="A97" s="1318" t="s">
        <v>1771</v>
      </c>
      <c r="B97" s="1319" t="s">
        <v>2693</v>
      </c>
      <c r="C97" s="1320">
        <f>+C85+C88</f>
        <v>57</v>
      </c>
      <c r="D97" s="1320">
        <f>+D85+D88</f>
        <v>0</v>
      </c>
      <c r="E97" s="1321">
        <f>+E85+E88</f>
        <v>57</v>
      </c>
      <c r="G97" s="118">
        <f>+'1.mell._Össz_Mérleg2019'!E26</f>
        <v>57</v>
      </c>
      <c r="H97" s="118">
        <f t="shared" ref="H97:H98" si="11">+G97-E97</f>
        <v>0</v>
      </c>
      <c r="J97" s="118">
        <v>57506</v>
      </c>
    </row>
    <row r="98" spans="1:10" s="810" customFormat="1" ht="12.75" thickBot="1">
      <c r="A98" s="1318" t="s">
        <v>1772</v>
      </c>
      <c r="B98" s="1319" t="s">
        <v>2694</v>
      </c>
      <c r="C98" s="1320">
        <f>SUM(C99:C107)</f>
        <v>0</v>
      </c>
      <c r="D98" s="1320">
        <f>SUM(D99:D107)</f>
        <v>0</v>
      </c>
      <c r="E98" s="1321">
        <f>SUM(E99:E107)</f>
        <v>0</v>
      </c>
      <c r="G98" s="118">
        <f>+'1.mell._Össz_Mérleg2019'!E27</f>
        <v>0</v>
      </c>
      <c r="H98" s="118">
        <f t="shared" si="11"/>
        <v>0</v>
      </c>
      <c r="J98" s="119">
        <v>0</v>
      </c>
    </row>
    <row r="99" spans="1:10">
      <c r="A99" s="1322" t="s">
        <v>1774</v>
      </c>
      <c r="B99" s="1323" t="s">
        <v>2157</v>
      </c>
      <c r="C99" s="1324"/>
      <c r="D99" s="1324"/>
      <c r="E99" s="1325">
        <f t="shared" ref="E99:E107" si="12">+C99+D99</f>
        <v>0</v>
      </c>
      <c r="J99" s="118">
        <v>0</v>
      </c>
    </row>
    <row r="100" spans="1:10">
      <c r="A100" s="1311" t="s">
        <v>1776</v>
      </c>
      <c r="B100" s="1312" t="s">
        <v>2158</v>
      </c>
      <c r="C100" s="1313"/>
      <c r="D100" s="1313"/>
      <c r="E100" s="1314">
        <f t="shared" si="12"/>
        <v>0</v>
      </c>
      <c r="J100" s="118">
        <v>0</v>
      </c>
    </row>
    <row r="101" spans="1:10">
      <c r="A101" s="1311" t="s">
        <v>1777</v>
      </c>
      <c r="B101" s="1312" t="s">
        <v>2159</v>
      </c>
      <c r="C101" s="1313"/>
      <c r="D101" s="1313"/>
      <c r="E101" s="1314">
        <f t="shared" si="12"/>
        <v>0</v>
      </c>
      <c r="J101" s="118">
        <v>0</v>
      </c>
    </row>
    <row r="102" spans="1:10">
      <c r="A102" s="1311" t="s">
        <v>1779</v>
      </c>
      <c r="B102" s="1312" t="s">
        <v>2160</v>
      </c>
      <c r="C102" s="1313"/>
      <c r="D102" s="1313"/>
      <c r="E102" s="1314">
        <f t="shared" si="12"/>
        <v>0</v>
      </c>
      <c r="J102" s="118">
        <v>0</v>
      </c>
    </row>
    <row r="103" spans="1:10">
      <c r="A103" s="1311" t="s">
        <v>1781</v>
      </c>
      <c r="B103" s="1312" t="s">
        <v>2161</v>
      </c>
      <c r="C103" s="1313"/>
      <c r="D103" s="1313"/>
      <c r="E103" s="1314">
        <f t="shared" si="12"/>
        <v>0</v>
      </c>
      <c r="J103" s="118">
        <v>0</v>
      </c>
    </row>
    <row r="104" spans="1:10">
      <c r="A104" s="1311" t="s">
        <v>1782</v>
      </c>
      <c r="B104" s="1312" t="s">
        <v>2162</v>
      </c>
      <c r="C104" s="1313"/>
      <c r="D104" s="1313"/>
      <c r="E104" s="1314">
        <f t="shared" si="12"/>
        <v>0</v>
      </c>
      <c r="J104" s="118">
        <v>0</v>
      </c>
    </row>
    <row r="105" spans="1:10">
      <c r="A105" s="1311" t="s">
        <v>1784</v>
      </c>
      <c r="B105" s="1312" t="s">
        <v>2163</v>
      </c>
      <c r="C105" s="1313"/>
      <c r="D105" s="1313"/>
      <c r="E105" s="1314">
        <f t="shared" si="12"/>
        <v>0</v>
      </c>
      <c r="J105" s="118">
        <v>0</v>
      </c>
    </row>
    <row r="106" spans="1:10">
      <c r="A106" s="1311" t="s">
        <v>1786</v>
      </c>
      <c r="B106" s="1312" t="s">
        <v>2164</v>
      </c>
      <c r="C106" s="1313"/>
      <c r="D106" s="1313"/>
      <c r="E106" s="1314">
        <f t="shared" si="12"/>
        <v>0</v>
      </c>
      <c r="J106" s="118">
        <v>0</v>
      </c>
    </row>
    <row r="107" spans="1:10" ht="12.75" thickBot="1">
      <c r="A107" s="1304" t="s">
        <v>1788</v>
      </c>
      <c r="B107" s="1315" t="s">
        <v>2165</v>
      </c>
      <c r="C107" s="1316"/>
      <c r="D107" s="1316"/>
      <c r="E107" s="1317">
        <f t="shared" si="12"/>
        <v>0</v>
      </c>
      <c r="J107" s="118">
        <v>0</v>
      </c>
    </row>
    <row r="108" spans="1:10" s="810" customFormat="1" ht="12.75" thickBot="1">
      <c r="A108" s="1318" t="s">
        <v>1790</v>
      </c>
      <c r="B108" s="1319" t="s">
        <v>2695</v>
      </c>
      <c r="C108" s="1320">
        <f>SUM(C109:C112)</f>
        <v>0</v>
      </c>
      <c r="D108" s="1320">
        <v>0</v>
      </c>
      <c r="E108" s="1321">
        <v>0</v>
      </c>
      <c r="G108" s="118">
        <f>+'1.mell._Össz_Mérleg2019'!E28</f>
        <v>0</v>
      </c>
      <c r="H108" s="118">
        <f>+G108-E108</f>
        <v>0</v>
      </c>
      <c r="J108" s="119">
        <v>0</v>
      </c>
    </row>
    <row r="109" spans="1:10">
      <c r="A109" s="1322" t="s">
        <v>1792</v>
      </c>
      <c r="B109" s="1323" t="s">
        <v>2166</v>
      </c>
      <c r="C109" s="1324"/>
      <c r="D109" s="1324"/>
      <c r="E109" s="1325">
        <f>+C109+D109</f>
        <v>0</v>
      </c>
      <c r="J109" s="118">
        <v>0</v>
      </c>
    </row>
    <row r="110" spans="1:10">
      <c r="A110" s="1311" t="s">
        <v>1794</v>
      </c>
      <c r="B110" s="1312" t="s">
        <v>2167</v>
      </c>
      <c r="C110" s="1313"/>
      <c r="D110" s="1313"/>
      <c r="E110" s="1314">
        <f>+C110+D110</f>
        <v>0</v>
      </c>
      <c r="J110" s="118">
        <v>0</v>
      </c>
    </row>
    <row r="111" spans="1:10">
      <c r="A111" s="1311" t="s">
        <v>1796</v>
      </c>
      <c r="B111" s="1312" t="s">
        <v>2168</v>
      </c>
      <c r="C111" s="1313"/>
      <c r="D111" s="1313"/>
      <c r="E111" s="1314">
        <f>+C111+D111</f>
        <v>0</v>
      </c>
      <c r="J111" s="118">
        <v>0</v>
      </c>
    </row>
    <row r="112" spans="1:10" ht="12.75" thickBot="1">
      <c r="A112" s="1304" t="s">
        <v>1798</v>
      </c>
      <c r="B112" s="1315" t="s">
        <v>2169</v>
      </c>
      <c r="C112" s="1316"/>
      <c r="D112" s="1316"/>
      <c r="E112" s="1317">
        <f>+C112+D112</f>
        <v>0</v>
      </c>
      <c r="J112" s="118">
        <v>0</v>
      </c>
    </row>
    <row r="113" spans="1:10" s="810" customFormat="1" ht="12.75" thickBot="1">
      <c r="A113" s="1318" t="s">
        <v>1800</v>
      </c>
      <c r="B113" s="1319" t="s">
        <v>2696</v>
      </c>
      <c r="C113" s="1320">
        <f>SUM(C114:C119)</f>
        <v>63969</v>
      </c>
      <c r="D113" s="1320">
        <f>SUM(D114:D119)</f>
        <v>0</v>
      </c>
      <c r="E113" s="1321">
        <f>SUM(E114:E119)</f>
        <v>63969</v>
      </c>
      <c r="G113" s="118">
        <f>+'1.mell._Össz_Mérleg2019'!E29</f>
        <v>63970</v>
      </c>
      <c r="H113" s="118">
        <f>+G113-E113</f>
        <v>1</v>
      </c>
      <c r="J113" s="119">
        <v>63969466</v>
      </c>
    </row>
    <row r="114" spans="1:10">
      <c r="A114" s="1322" t="s">
        <v>1802</v>
      </c>
      <c r="B114" s="1323" t="s">
        <v>2170</v>
      </c>
      <c r="C114" s="1324">
        <v>32734</v>
      </c>
      <c r="D114" s="1324"/>
      <c r="E114" s="1325">
        <f t="shared" ref="E114:E119" si="13">+C114+D114</f>
        <v>32734</v>
      </c>
      <c r="J114" s="118">
        <v>32734442</v>
      </c>
    </row>
    <row r="115" spans="1:10">
      <c r="A115" s="1311" t="s">
        <v>1804</v>
      </c>
      <c r="B115" s="1312" t="s">
        <v>2171</v>
      </c>
      <c r="C115" s="1313">
        <v>21087</v>
      </c>
      <c r="D115" s="1313"/>
      <c r="E115" s="1314">
        <f t="shared" si="13"/>
        <v>21087</v>
      </c>
      <c r="J115" s="118">
        <v>21087024</v>
      </c>
    </row>
    <row r="116" spans="1:10">
      <c r="A116" s="1311" t="s">
        <v>1806</v>
      </c>
      <c r="B116" s="1312" t="s">
        <v>2172</v>
      </c>
      <c r="C116" s="1313">
        <v>10148</v>
      </c>
      <c r="D116" s="1313"/>
      <c r="E116" s="1314">
        <f t="shared" si="13"/>
        <v>10148</v>
      </c>
      <c r="J116" s="118">
        <v>10148000</v>
      </c>
    </row>
    <row r="117" spans="1:10">
      <c r="A117" s="1311" t="s">
        <v>1808</v>
      </c>
      <c r="B117" s="1312" t="s">
        <v>2173</v>
      </c>
      <c r="C117" s="1313"/>
      <c r="D117" s="1313"/>
      <c r="E117" s="1314">
        <f t="shared" si="13"/>
        <v>0</v>
      </c>
      <c r="J117" s="118">
        <v>0</v>
      </c>
    </row>
    <row r="118" spans="1:10">
      <c r="A118" s="1311" t="s">
        <v>1810</v>
      </c>
      <c r="B118" s="1312" t="s">
        <v>2174</v>
      </c>
      <c r="C118" s="1313"/>
      <c r="D118" s="1313"/>
      <c r="E118" s="1314">
        <f t="shared" si="13"/>
        <v>0</v>
      </c>
      <c r="J118" s="118">
        <v>0</v>
      </c>
    </row>
    <row r="119" spans="1:10" ht="12.75" thickBot="1">
      <c r="A119" s="1304" t="s">
        <v>1812</v>
      </c>
      <c r="B119" s="1315" t="s">
        <v>2175</v>
      </c>
      <c r="C119" s="1316"/>
      <c r="D119" s="1316"/>
      <c r="E119" s="1317">
        <f t="shared" si="13"/>
        <v>0</v>
      </c>
      <c r="J119" s="118">
        <v>0</v>
      </c>
    </row>
    <row r="120" spans="1:10" ht="12.75" thickBot="1">
      <c r="A120" s="1318" t="s">
        <v>1814</v>
      </c>
      <c r="B120" s="1319" t="s">
        <v>2697</v>
      </c>
      <c r="C120" s="1320">
        <f>SUM(C121:C141)</f>
        <v>298730</v>
      </c>
      <c r="D120" s="1320">
        <f>SUM(D121:D141)</f>
        <v>0</v>
      </c>
      <c r="E120" s="1321">
        <f>SUM(E121:E141)</f>
        <v>298730</v>
      </c>
      <c r="J120" s="118">
        <v>298729821</v>
      </c>
    </row>
    <row r="121" spans="1:10" s="810" customFormat="1">
      <c r="A121" s="1322" t="s">
        <v>1816</v>
      </c>
      <c r="B121" s="1323" t="s">
        <v>2176</v>
      </c>
      <c r="C121" s="1324"/>
      <c r="D121" s="1324"/>
      <c r="E121" s="1325">
        <f t="shared" ref="E121:E141" si="14">+C121+D121</f>
        <v>0</v>
      </c>
      <c r="J121" s="119">
        <v>0</v>
      </c>
    </row>
    <row r="122" spans="1:10">
      <c r="A122" s="1311" t="s">
        <v>1818</v>
      </c>
      <c r="B122" s="1312" t="s">
        <v>2177</v>
      </c>
      <c r="C122" s="1313"/>
      <c r="D122" s="1313"/>
      <c r="E122" s="1314">
        <f t="shared" si="14"/>
        <v>0</v>
      </c>
      <c r="J122" s="118">
        <v>0</v>
      </c>
    </row>
    <row r="123" spans="1:10">
      <c r="A123" s="1311" t="s">
        <v>1820</v>
      </c>
      <c r="B123" s="1312" t="s">
        <v>2178</v>
      </c>
      <c r="C123" s="1313"/>
      <c r="D123" s="1313"/>
      <c r="E123" s="1314">
        <f t="shared" si="14"/>
        <v>0</v>
      </c>
      <c r="J123" s="118">
        <v>0</v>
      </c>
    </row>
    <row r="124" spans="1:10">
      <c r="A124" s="1311" t="s">
        <v>1821</v>
      </c>
      <c r="B124" s="1312" t="s">
        <v>2179</v>
      </c>
      <c r="C124" s="1313"/>
      <c r="D124" s="1313"/>
      <c r="E124" s="1314">
        <f t="shared" si="14"/>
        <v>0</v>
      </c>
      <c r="J124" s="118">
        <v>0</v>
      </c>
    </row>
    <row r="125" spans="1:10">
      <c r="A125" s="1311" t="s">
        <v>1822</v>
      </c>
      <c r="B125" s="1312" t="s">
        <v>2180</v>
      </c>
      <c r="C125" s="1313"/>
      <c r="D125" s="1313"/>
      <c r="E125" s="1314">
        <f t="shared" si="14"/>
        <v>0</v>
      </c>
      <c r="J125" s="118">
        <v>0</v>
      </c>
    </row>
    <row r="126" spans="1:10">
      <c r="A126" s="1311" t="s">
        <v>1824</v>
      </c>
      <c r="B126" s="1312" t="s">
        <v>2181</v>
      </c>
      <c r="C126" s="1313"/>
      <c r="D126" s="1313"/>
      <c r="E126" s="1314">
        <f t="shared" si="14"/>
        <v>0</v>
      </c>
      <c r="J126" s="118">
        <v>0</v>
      </c>
    </row>
    <row r="127" spans="1:10">
      <c r="A127" s="1311" t="s">
        <v>1826</v>
      </c>
      <c r="B127" s="1312" t="s">
        <v>2182</v>
      </c>
      <c r="C127" s="1313">
        <v>298730</v>
      </c>
      <c r="D127" s="1313"/>
      <c r="E127" s="1314">
        <f t="shared" si="14"/>
        <v>298730</v>
      </c>
      <c r="J127" s="118">
        <v>298729821</v>
      </c>
    </row>
    <row r="128" spans="1:10">
      <c r="A128" s="1311" t="s">
        <v>1828</v>
      </c>
      <c r="B128" s="1312" t="s">
        <v>2183</v>
      </c>
      <c r="C128" s="1313"/>
      <c r="D128" s="1313"/>
      <c r="E128" s="1314">
        <f t="shared" si="14"/>
        <v>0</v>
      </c>
      <c r="J128" s="118">
        <v>0</v>
      </c>
    </row>
    <row r="129" spans="1:10">
      <c r="A129" s="1311" t="s">
        <v>1830</v>
      </c>
      <c r="B129" s="1312" t="s">
        <v>2184</v>
      </c>
      <c r="C129" s="1313"/>
      <c r="D129" s="1313"/>
      <c r="E129" s="1314">
        <f t="shared" si="14"/>
        <v>0</v>
      </c>
      <c r="J129" s="118">
        <v>0</v>
      </c>
    </row>
    <row r="130" spans="1:10">
      <c r="A130" s="1311" t="s">
        <v>1831</v>
      </c>
      <c r="B130" s="1312" t="s">
        <v>2185</v>
      </c>
      <c r="C130" s="1313"/>
      <c r="D130" s="1313"/>
      <c r="E130" s="1314">
        <f t="shared" si="14"/>
        <v>0</v>
      </c>
      <c r="J130" s="118">
        <v>0</v>
      </c>
    </row>
    <row r="131" spans="1:10">
      <c r="A131" s="1311" t="s">
        <v>1832</v>
      </c>
      <c r="B131" s="1312" t="s">
        <v>2186</v>
      </c>
      <c r="C131" s="1313"/>
      <c r="D131" s="1313"/>
      <c r="E131" s="1314">
        <f t="shared" si="14"/>
        <v>0</v>
      </c>
      <c r="J131" s="118">
        <v>0</v>
      </c>
    </row>
    <row r="132" spans="1:10">
      <c r="A132" s="1311" t="s">
        <v>1833</v>
      </c>
      <c r="B132" s="1312" t="s">
        <v>2187</v>
      </c>
      <c r="C132" s="1313"/>
      <c r="D132" s="1313"/>
      <c r="E132" s="1314">
        <f t="shared" si="14"/>
        <v>0</v>
      </c>
      <c r="J132" s="118">
        <v>0</v>
      </c>
    </row>
    <row r="133" spans="1:10">
      <c r="A133" s="1311" t="s">
        <v>1835</v>
      </c>
      <c r="B133" s="1312" t="s">
        <v>2188</v>
      </c>
      <c r="C133" s="1313"/>
      <c r="D133" s="1313"/>
      <c r="E133" s="1314">
        <f t="shared" si="14"/>
        <v>0</v>
      </c>
      <c r="J133" s="118">
        <v>0</v>
      </c>
    </row>
    <row r="134" spans="1:10" ht="24">
      <c r="A134" s="1311" t="s">
        <v>1837</v>
      </c>
      <c r="B134" s="1312" t="s">
        <v>2189</v>
      </c>
      <c r="C134" s="1313"/>
      <c r="D134" s="1313"/>
      <c r="E134" s="1314">
        <f t="shared" si="14"/>
        <v>0</v>
      </c>
      <c r="J134" s="118">
        <v>0</v>
      </c>
    </row>
    <row r="135" spans="1:10" ht="24">
      <c r="A135" s="1311" t="s">
        <v>1839</v>
      </c>
      <c r="B135" s="1312" t="s">
        <v>2190</v>
      </c>
      <c r="C135" s="1313"/>
      <c r="D135" s="1313"/>
      <c r="E135" s="1314">
        <f t="shared" si="14"/>
        <v>0</v>
      </c>
      <c r="J135" s="118">
        <v>0</v>
      </c>
    </row>
    <row r="136" spans="1:10">
      <c r="A136" s="1311" t="s">
        <v>1841</v>
      </c>
      <c r="B136" s="1312" t="s">
        <v>2191</v>
      </c>
      <c r="C136" s="1313"/>
      <c r="D136" s="1313"/>
      <c r="E136" s="1314">
        <f t="shared" si="14"/>
        <v>0</v>
      </c>
      <c r="J136" s="118">
        <v>0</v>
      </c>
    </row>
    <row r="137" spans="1:10">
      <c r="A137" s="1311" t="s">
        <v>1843</v>
      </c>
      <c r="B137" s="1312" t="s">
        <v>2192</v>
      </c>
      <c r="C137" s="1313"/>
      <c r="D137" s="1313"/>
      <c r="E137" s="1314">
        <f t="shared" si="14"/>
        <v>0</v>
      </c>
      <c r="J137" s="118">
        <v>0</v>
      </c>
    </row>
    <row r="138" spans="1:10">
      <c r="A138" s="1311" t="s">
        <v>1845</v>
      </c>
      <c r="B138" s="1312" t="s">
        <v>2193</v>
      </c>
      <c r="C138" s="1313"/>
      <c r="D138" s="1313"/>
      <c r="E138" s="1314">
        <f t="shared" si="14"/>
        <v>0</v>
      </c>
      <c r="J138" s="118">
        <v>0</v>
      </c>
    </row>
    <row r="139" spans="1:10">
      <c r="A139" s="1311" t="s">
        <v>1847</v>
      </c>
      <c r="B139" s="1312" t="s">
        <v>2194</v>
      </c>
      <c r="C139" s="1313"/>
      <c r="D139" s="1313"/>
      <c r="E139" s="1314">
        <f t="shared" si="14"/>
        <v>0</v>
      </c>
      <c r="J139" s="118">
        <v>0</v>
      </c>
    </row>
    <row r="140" spans="1:10">
      <c r="A140" s="1311" t="s">
        <v>1849</v>
      </c>
      <c r="B140" s="1312" t="s">
        <v>2195</v>
      </c>
      <c r="C140" s="1313"/>
      <c r="D140" s="1313"/>
      <c r="E140" s="1314">
        <f t="shared" si="14"/>
        <v>0</v>
      </c>
      <c r="J140" s="118">
        <v>0</v>
      </c>
    </row>
    <row r="141" spans="1:10" ht="24.75" thickBot="1">
      <c r="A141" s="1304" t="s">
        <v>1851</v>
      </c>
      <c r="B141" s="1315" t="s">
        <v>2196</v>
      </c>
      <c r="C141" s="1316"/>
      <c r="D141" s="1316"/>
      <c r="E141" s="1317">
        <f t="shared" si="14"/>
        <v>0</v>
      </c>
      <c r="J141" s="118">
        <v>0</v>
      </c>
    </row>
    <row r="142" spans="1:10" ht="12.75" thickBot="1">
      <c r="A142" s="1318" t="s">
        <v>1853</v>
      </c>
      <c r="B142" s="1319" t="s">
        <v>2698</v>
      </c>
      <c r="C142" s="1320">
        <f>SUM(C143:C145)</f>
        <v>0</v>
      </c>
      <c r="D142" s="1320">
        <f>SUM(D143:D145)</f>
        <v>0</v>
      </c>
      <c r="E142" s="1321">
        <f>SUM(E143:E145)</f>
        <v>0</v>
      </c>
      <c r="J142" s="118">
        <v>0</v>
      </c>
    </row>
    <row r="143" spans="1:10" s="810" customFormat="1">
      <c r="A143" s="1322" t="s">
        <v>1854</v>
      </c>
      <c r="B143" s="1323" t="s">
        <v>2197</v>
      </c>
      <c r="C143" s="1324"/>
      <c r="D143" s="1324"/>
      <c r="E143" s="1325">
        <f>+C143+D143</f>
        <v>0</v>
      </c>
      <c r="J143" s="119">
        <v>0</v>
      </c>
    </row>
    <row r="144" spans="1:10">
      <c r="A144" s="1311" t="s">
        <v>1856</v>
      </c>
      <c r="B144" s="1312" t="s">
        <v>2198</v>
      </c>
      <c r="C144" s="1313"/>
      <c r="D144" s="1313"/>
      <c r="E144" s="1314">
        <f>+C144+D144</f>
        <v>0</v>
      </c>
      <c r="J144" s="118">
        <v>0</v>
      </c>
    </row>
    <row r="145" spans="1:10" ht="12.75" thickBot="1">
      <c r="A145" s="1304" t="s">
        <v>1858</v>
      </c>
      <c r="B145" s="1315" t="s">
        <v>2199</v>
      </c>
      <c r="C145" s="1316"/>
      <c r="D145" s="1316"/>
      <c r="E145" s="1317">
        <f>+C145+D145</f>
        <v>0</v>
      </c>
      <c r="J145" s="118">
        <v>0</v>
      </c>
    </row>
    <row r="146" spans="1:10" ht="12.75" thickBot="1">
      <c r="A146" s="1318" t="s">
        <v>1860</v>
      </c>
      <c r="B146" s="1319" t="s">
        <v>2200</v>
      </c>
      <c r="C146" s="1320">
        <v>0</v>
      </c>
      <c r="D146" s="1320">
        <v>0</v>
      </c>
      <c r="E146" s="1321">
        <f>+C146+D146</f>
        <v>0</v>
      </c>
      <c r="J146" s="118">
        <v>0</v>
      </c>
    </row>
    <row r="147" spans="1:10" s="810" customFormat="1" ht="12.75" thickBot="1">
      <c r="A147" s="1318" t="s">
        <v>1862</v>
      </c>
      <c r="B147" s="1319" t="s">
        <v>2699</v>
      </c>
      <c r="C147" s="1320">
        <f>SUM(C148:C151)</f>
        <v>27775</v>
      </c>
      <c r="D147" s="1320">
        <f>SUM(D148:D151)</f>
        <v>0</v>
      </c>
      <c r="E147" s="1321">
        <f>SUM(E148:E151)</f>
        <v>27775</v>
      </c>
      <c r="J147" s="119">
        <v>27774521</v>
      </c>
    </row>
    <row r="148" spans="1:10" s="810" customFormat="1">
      <c r="A148" s="1322" t="s">
        <v>1864</v>
      </c>
      <c r="B148" s="1323" t="s">
        <v>2201</v>
      </c>
      <c r="C148" s="1324"/>
      <c r="D148" s="1324"/>
      <c r="E148" s="1325">
        <f>+C148+D148</f>
        <v>0</v>
      </c>
      <c r="J148" s="119">
        <v>0</v>
      </c>
    </row>
    <row r="149" spans="1:10">
      <c r="A149" s="1311" t="s">
        <v>1866</v>
      </c>
      <c r="B149" s="1312" t="s">
        <v>2202</v>
      </c>
      <c r="C149" s="1313">
        <v>27775</v>
      </c>
      <c r="D149" s="1313"/>
      <c r="E149" s="1314">
        <f>+C149+D149</f>
        <v>27775</v>
      </c>
      <c r="J149" s="118">
        <v>27774521</v>
      </c>
    </row>
    <row r="150" spans="1:10">
      <c r="A150" s="1311" t="s">
        <v>1868</v>
      </c>
      <c r="B150" s="1312" t="s">
        <v>2203</v>
      </c>
      <c r="C150" s="1313"/>
      <c r="D150" s="1313"/>
      <c r="E150" s="1314">
        <f>+C150+D150</f>
        <v>0</v>
      </c>
      <c r="J150" s="118">
        <v>0</v>
      </c>
    </row>
    <row r="151" spans="1:10" ht="12.75" thickBot="1">
      <c r="A151" s="1304" t="s">
        <v>1870</v>
      </c>
      <c r="B151" s="1315" t="s">
        <v>2204</v>
      </c>
      <c r="C151" s="1316"/>
      <c r="D151" s="1316"/>
      <c r="E151" s="1317">
        <f>+C151+D151</f>
        <v>0</v>
      </c>
      <c r="J151" s="118">
        <v>0</v>
      </c>
    </row>
    <row r="152" spans="1:10" ht="12.75" thickBot="1">
      <c r="A152" s="1318" t="s">
        <v>1872</v>
      </c>
      <c r="B152" s="1319" t="s">
        <v>2700</v>
      </c>
      <c r="C152" s="1320">
        <f>SUM(C153:C168)</f>
        <v>192</v>
      </c>
      <c r="D152" s="1320">
        <f>SUM(D153:D168)</f>
        <v>0</v>
      </c>
      <c r="E152" s="1321">
        <f>SUM(E153:E168)</f>
        <v>192</v>
      </c>
      <c r="J152" s="118">
        <v>192200</v>
      </c>
    </row>
    <row r="153" spans="1:10">
      <c r="A153" s="1311" t="s">
        <v>1874</v>
      </c>
      <c r="B153" s="1312" t="s">
        <v>2205</v>
      </c>
      <c r="C153" s="1313"/>
      <c r="D153" s="1313"/>
      <c r="E153" s="1314">
        <f t="shared" ref="E153:E168" si="15">+C153+D153</f>
        <v>0</v>
      </c>
      <c r="J153" s="118">
        <v>0</v>
      </c>
    </row>
    <row r="154" spans="1:10">
      <c r="A154" s="1311" t="s">
        <v>1875</v>
      </c>
      <c r="B154" s="1312" t="s">
        <v>2206</v>
      </c>
      <c r="C154" s="1313"/>
      <c r="D154" s="1313"/>
      <c r="E154" s="1314">
        <f t="shared" si="15"/>
        <v>0</v>
      </c>
      <c r="J154" s="118">
        <v>0</v>
      </c>
    </row>
    <row r="155" spans="1:10">
      <c r="A155" s="1311" t="s">
        <v>1877</v>
      </c>
      <c r="B155" s="1312" t="s">
        <v>2207</v>
      </c>
      <c r="C155" s="1313"/>
      <c r="D155" s="1313"/>
      <c r="E155" s="1314">
        <f t="shared" si="15"/>
        <v>0</v>
      </c>
      <c r="J155" s="118">
        <v>0</v>
      </c>
    </row>
    <row r="156" spans="1:10">
      <c r="A156" s="1311" t="s">
        <v>1879</v>
      </c>
      <c r="B156" s="1312" t="s">
        <v>2208</v>
      </c>
      <c r="C156" s="1313"/>
      <c r="D156" s="1313"/>
      <c r="E156" s="1314">
        <f t="shared" si="15"/>
        <v>0</v>
      </c>
      <c r="J156" s="118">
        <v>0</v>
      </c>
    </row>
    <row r="157" spans="1:10">
      <c r="A157" s="1311" t="s">
        <v>1881</v>
      </c>
      <c r="B157" s="1312" t="s">
        <v>2209</v>
      </c>
      <c r="C157" s="1313"/>
      <c r="D157" s="1313"/>
      <c r="E157" s="1314">
        <f t="shared" si="15"/>
        <v>0</v>
      </c>
      <c r="J157" s="118">
        <v>0</v>
      </c>
    </row>
    <row r="158" spans="1:10">
      <c r="A158" s="1311" t="s">
        <v>1883</v>
      </c>
      <c r="B158" s="1312" t="s">
        <v>2210</v>
      </c>
      <c r="C158" s="1313"/>
      <c r="D158" s="1313"/>
      <c r="E158" s="1314">
        <f t="shared" si="15"/>
        <v>0</v>
      </c>
      <c r="J158" s="118">
        <v>0</v>
      </c>
    </row>
    <row r="159" spans="1:10">
      <c r="A159" s="1311" t="s">
        <v>1885</v>
      </c>
      <c r="B159" s="1312" t="s">
        <v>2211</v>
      </c>
      <c r="C159" s="1313">
        <v>192</v>
      </c>
      <c r="D159" s="1313"/>
      <c r="E159" s="1314">
        <f t="shared" si="15"/>
        <v>192</v>
      </c>
      <c r="J159" s="118">
        <v>192200</v>
      </c>
    </row>
    <row r="160" spans="1:10">
      <c r="A160" s="1311" t="s">
        <v>1887</v>
      </c>
      <c r="B160" s="1312" t="s">
        <v>2212</v>
      </c>
      <c r="C160" s="1313"/>
      <c r="D160" s="1313"/>
      <c r="E160" s="1314">
        <f t="shared" si="15"/>
        <v>0</v>
      </c>
      <c r="J160" s="118">
        <v>0</v>
      </c>
    </row>
    <row r="161" spans="1:10">
      <c r="A161" s="1311" t="s">
        <v>1889</v>
      </c>
      <c r="B161" s="1312" t="s">
        <v>2213</v>
      </c>
      <c r="C161" s="1313"/>
      <c r="D161" s="1313"/>
      <c r="E161" s="1314">
        <f t="shared" si="15"/>
        <v>0</v>
      </c>
      <c r="J161" s="118">
        <v>0</v>
      </c>
    </row>
    <row r="162" spans="1:10">
      <c r="A162" s="1311" t="s">
        <v>1891</v>
      </c>
      <c r="B162" s="1312" t="s">
        <v>2214</v>
      </c>
      <c r="C162" s="1313"/>
      <c r="D162" s="1313"/>
      <c r="E162" s="1314">
        <f t="shared" si="15"/>
        <v>0</v>
      </c>
      <c r="J162" s="118">
        <v>0</v>
      </c>
    </row>
    <row r="163" spans="1:10">
      <c r="A163" s="1311" t="s">
        <v>1893</v>
      </c>
      <c r="B163" s="1312" t="s">
        <v>2215</v>
      </c>
      <c r="C163" s="1313"/>
      <c r="D163" s="1313"/>
      <c r="E163" s="1314">
        <f t="shared" si="15"/>
        <v>0</v>
      </c>
      <c r="J163" s="118">
        <v>0</v>
      </c>
    </row>
    <row r="164" spans="1:10">
      <c r="A164" s="1311" t="s">
        <v>1895</v>
      </c>
      <c r="B164" s="1312" t="s">
        <v>2216</v>
      </c>
      <c r="C164" s="1313"/>
      <c r="D164" s="1313"/>
      <c r="E164" s="1314">
        <f t="shared" si="15"/>
        <v>0</v>
      </c>
      <c r="J164" s="118">
        <v>0</v>
      </c>
    </row>
    <row r="165" spans="1:10">
      <c r="A165" s="1311" t="s">
        <v>1896</v>
      </c>
      <c r="B165" s="1312" t="s">
        <v>2217</v>
      </c>
      <c r="C165" s="1313"/>
      <c r="D165" s="1313"/>
      <c r="E165" s="1314">
        <f t="shared" si="15"/>
        <v>0</v>
      </c>
      <c r="J165" s="118">
        <v>0</v>
      </c>
    </row>
    <row r="166" spans="1:10">
      <c r="A166" s="1311" t="s">
        <v>1898</v>
      </c>
      <c r="B166" s="1312" t="s">
        <v>2218</v>
      </c>
      <c r="C166" s="1313"/>
      <c r="D166" s="1313"/>
      <c r="E166" s="1314">
        <f t="shared" si="15"/>
        <v>0</v>
      </c>
      <c r="J166" s="118">
        <v>0</v>
      </c>
    </row>
    <row r="167" spans="1:10" ht="24">
      <c r="A167" s="1311" t="s">
        <v>1899</v>
      </c>
      <c r="B167" s="1312" t="s">
        <v>2219</v>
      </c>
      <c r="C167" s="1313"/>
      <c r="D167" s="1313"/>
      <c r="E167" s="1314">
        <f t="shared" si="15"/>
        <v>0</v>
      </c>
      <c r="J167" s="118">
        <v>0</v>
      </c>
    </row>
    <row r="168" spans="1:10" ht="12.75" thickBot="1">
      <c r="A168" s="1304" t="s">
        <v>1901</v>
      </c>
      <c r="B168" s="1315" t="s">
        <v>2220</v>
      </c>
      <c r="C168" s="1316"/>
      <c r="D168" s="1316"/>
      <c r="E168" s="1317">
        <f t="shared" si="15"/>
        <v>0</v>
      </c>
      <c r="J168" s="118">
        <v>0</v>
      </c>
    </row>
    <row r="169" spans="1:10" ht="12.75" thickBot="1">
      <c r="A169" s="1318" t="s">
        <v>1903</v>
      </c>
      <c r="B169" s="1319" t="s">
        <v>2701</v>
      </c>
      <c r="C169" s="1320">
        <f>+C120+C142+C146+C147+C152</f>
        <v>326697</v>
      </c>
      <c r="D169" s="1320">
        <f>+D120+D142+D146+D147+D152</f>
        <v>0</v>
      </c>
      <c r="E169" s="1321">
        <f>+E120+E142+E146+E147+E152</f>
        <v>326697</v>
      </c>
      <c r="G169" s="118">
        <f>+'1.mell._Össz_Mérleg2019'!E30</f>
        <v>326697</v>
      </c>
      <c r="H169" s="118">
        <f t="shared" ref="H169:H170" si="16">+G169-E169</f>
        <v>0</v>
      </c>
      <c r="J169" s="118">
        <v>326696542</v>
      </c>
    </row>
    <row r="170" spans="1:10" s="810" customFormat="1" ht="12.75" thickBot="1">
      <c r="A170" s="1318" t="s">
        <v>1905</v>
      </c>
      <c r="B170" s="1319" t="s">
        <v>2702</v>
      </c>
      <c r="C170" s="1320">
        <v>3708</v>
      </c>
      <c r="D170" s="1320"/>
      <c r="E170" s="1321">
        <f>+C170+D170</f>
        <v>3708</v>
      </c>
      <c r="G170" s="118">
        <f>+'1.mell._Össz_Mérleg2019'!E31</f>
        <v>3708</v>
      </c>
      <c r="H170" s="118">
        <f t="shared" si="16"/>
        <v>0</v>
      </c>
      <c r="J170" s="119">
        <v>3708163</v>
      </c>
    </row>
    <row r="171" spans="1:10" s="810" customFormat="1">
      <c r="A171" s="1322" t="s">
        <v>1907</v>
      </c>
      <c r="B171" s="1323" t="s">
        <v>2221</v>
      </c>
      <c r="C171" s="1324"/>
      <c r="D171" s="1324"/>
      <c r="E171" s="1325">
        <f t="shared" ref="E171:E188" si="17">+C171+D171</f>
        <v>0</v>
      </c>
      <c r="H171" s="815"/>
      <c r="J171" s="119">
        <v>0</v>
      </c>
    </row>
    <row r="172" spans="1:10">
      <c r="A172" s="1311" t="s">
        <v>1909</v>
      </c>
      <c r="B172" s="1312" t="s">
        <v>2222</v>
      </c>
      <c r="C172" s="1313"/>
      <c r="D172" s="1313"/>
      <c r="E172" s="1314">
        <f t="shared" si="17"/>
        <v>0</v>
      </c>
      <c r="J172" s="118">
        <v>0</v>
      </c>
    </row>
    <row r="173" spans="1:10">
      <c r="A173" s="1311" t="s">
        <v>1911</v>
      </c>
      <c r="B173" s="1312" t="s">
        <v>2223</v>
      </c>
      <c r="C173" s="1313">
        <v>490</v>
      </c>
      <c r="D173" s="1313"/>
      <c r="E173" s="1314">
        <f t="shared" si="17"/>
        <v>490</v>
      </c>
      <c r="J173" s="118">
        <v>489680</v>
      </c>
    </row>
    <row r="174" spans="1:10">
      <c r="A174" s="1311" t="s">
        <v>1913</v>
      </c>
      <c r="B174" s="1312" t="s">
        <v>2224</v>
      </c>
      <c r="C174" s="1313"/>
      <c r="D174" s="1313"/>
      <c r="E174" s="1314">
        <f t="shared" si="17"/>
        <v>0</v>
      </c>
      <c r="J174" s="118">
        <v>0</v>
      </c>
    </row>
    <row r="175" spans="1:10">
      <c r="A175" s="1311" t="s">
        <v>1915</v>
      </c>
      <c r="B175" s="1312" t="s">
        <v>2225</v>
      </c>
      <c r="C175" s="1313"/>
      <c r="D175" s="1313"/>
      <c r="E175" s="1314">
        <f t="shared" si="17"/>
        <v>0</v>
      </c>
      <c r="J175" s="118">
        <v>0</v>
      </c>
    </row>
    <row r="176" spans="1:10" ht="24">
      <c r="A176" s="1311" t="s">
        <v>1917</v>
      </c>
      <c r="B176" s="1312" t="s">
        <v>2226</v>
      </c>
      <c r="C176" s="1313"/>
      <c r="D176" s="1313"/>
      <c r="E176" s="1314">
        <f t="shared" si="17"/>
        <v>0</v>
      </c>
      <c r="J176" s="118">
        <v>0</v>
      </c>
    </row>
    <row r="177" spans="1:10">
      <c r="A177" s="1311" t="s">
        <v>1919</v>
      </c>
      <c r="B177" s="1312" t="s">
        <v>2227</v>
      </c>
      <c r="C177" s="1313"/>
      <c r="D177" s="1313"/>
      <c r="E177" s="1314">
        <f t="shared" si="17"/>
        <v>0</v>
      </c>
      <c r="J177" s="118">
        <v>0</v>
      </c>
    </row>
    <row r="178" spans="1:10">
      <c r="A178" s="1311" t="s">
        <v>1921</v>
      </c>
      <c r="B178" s="1312" t="s">
        <v>2228</v>
      </c>
      <c r="C178" s="1313"/>
      <c r="D178" s="1313"/>
      <c r="E178" s="1314">
        <f t="shared" si="17"/>
        <v>0</v>
      </c>
      <c r="J178" s="118">
        <v>0</v>
      </c>
    </row>
    <row r="179" spans="1:10">
      <c r="A179" s="1311" t="s">
        <v>1922</v>
      </c>
      <c r="B179" s="1312" t="s">
        <v>2229</v>
      </c>
      <c r="C179" s="1313"/>
      <c r="D179" s="1313"/>
      <c r="E179" s="1314">
        <f t="shared" si="17"/>
        <v>0</v>
      </c>
      <c r="J179" s="118">
        <v>0</v>
      </c>
    </row>
    <row r="180" spans="1:10">
      <c r="A180" s="1311" t="s">
        <v>1923</v>
      </c>
      <c r="B180" s="1312" t="s">
        <v>2230</v>
      </c>
      <c r="C180" s="1313"/>
      <c r="D180" s="1313"/>
      <c r="E180" s="1314">
        <f t="shared" si="17"/>
        <v>0</v>
      </c>
      <c r="J180" s="118">
        <v>0</v>
      </c>
    </row>
    <row r="181" spans="1:10" ht="24">
      <c r="A181" s="1322" t="s">
        <v>1924</v>
      </c>
      <c r="B181" s="1323" t="s">
        <v>2231</v>
      </c>
      <c r="C181" s="1324">
        <v>8</v>
      </c>
      <c r="D181" s="1324"/>
      <c r="E181" s="1325">
        <f t="shared" si="17"/>
        <v>8</v>
      </c>
      <c r="G181" s="118"/>
      <c r="J181" s="118">
        <v>8246</v>
      </c>
    </row>
    <row r="182" spans="1:10">
      <c r="A182" s="1311" t="s">
        <v>1925</v>
      </c>
      <c r="B182" s="1312" t="s">
        <v>2232</v>
      </c>
      <c r="C182" s="1313">
        <v>1083</v>
      </c>
      <c r="D182" s="1313"/>
      <c r="E182" s="1314">
        <f t="shared" si="17"/>
        <v>1083</v>
      </c>
      <c r="J182" s="118">
        <v>1083201</v>
      </c>
    </row>
    <row r="183" spans="1:10">
      <c r="A183" s="1311" t="s">
        <v>1927</v>
      </c>
      <c r="B183" s="1312" t="s">
        <v>2233</v>
      </c>
      <c r="C183" s="1313"/>
      <c r="D183" s="1313"/>
      <c r="E183" s="1314">
        <f t="shared" si="17"/>
        <v>0</v>
      </c>
      <c r="J183" s="118">
        <v>0</v>
      </c>
    </row>
    <row r="184" spans="1:10">
      <c r="A184" s="1311" t="s">
        <v>1929</v>
      </c>
      <c r="B184" s="1312" t="s">
        <v>2234</v>
      </c>
      <c r="C184" s="1313"/>
      <c r="D184" s="1313"/>
      <c r="E184" s="1314"/>
      <c r="J184" s="118">
        <v>0</v>
      </c>
    </row>
    <row r="185" spans="1:10">
      <c r="A185" s="1311" t="s">
        <v>1931</v>
      </c>
      <c r="B185" s="1312" t="s">
        <v>2235</v>
      </c>
      <c r="C185" s="1313"/>
      <c r="D185" s="1313"/>
      <c r="E185" s="1314"/>
      <c r="J185" s="118">
        <v>0</v>
      </c>
    </row>
    <row r="186" spans="1:10">
      <c r="A186" s="1311" t="s">
        <v>1933</v>
      </c>
      <c r="B186" s="1312" t="s">
        <v>2236</v>
      </c>
      <c r="C186" s="1313">
        <v>1444</v>
      </c>
      <c r="D186" s="1313"/>
      <c r="E186" s="1314">
        <f t="shared" si="17"/>
        <v>1444</v>
      </c>
      <c r="J186" s="118">
        <v>1443561</v>
      </c>
    </row>
    <row r="187" spans="1:10" s="810" customFormat="1">
      <c r="A187" s="1304" t="s">
        <v>1935</v>
      </c>
      <c r="B187" s="1315" t="s">
        <v>2237</v>
      </c>
      <c r="C187" s="1316"/>
      <c r="D187" s="1316"/>
      <c r="E187" s="1317">
        <f t="shared" ref="E187" si="18">+C187+D187</f>
        <v>0</v>
      </c>
      <c r="H187" s="815"/>
      <c r="J187" s="119">
        <v>0</v>
      </c>
    </row>
    <row r="188" spans="1:10" s="810" customFormat="1" ht="12.75" thickBot="1">
      <c r="A188" s="1304" t="s">
        <v>1937</v>
      </c>
      <c r="B188" s="1315" t="s">
        <v>2703</v>
      </c>
      <c r="C188" s="1316"/>
      <c r="D188" s="1316"/>
      <c r="E188" s="1317">
        <f t="shared" si="17"/>
        <v>0</v>
      </c>
      <c r="H188" s="815"/>
      <c r="J188" s="119">
        <v>0</v>
      </c>
    </row>
    <row r="189" spans="1:10" s="810" customFormat="1" ht="12.75" thickBot="1">
      <c r="A189" s="1318" t="s">
        <v>1939</v>
      </c>
      <c r="B189" s="1319" t="s">
        <v>2704</v>
      </c>
      <c r="C189" s="1320">
        <f>+C97+C98+C108+C113+C169+C170</f>
        <v>394431</v>
      </c>
      <c r="D189" s="1320">
        <f>+D97+D98+D108+D113+D169+D170</f>
        <v>0</v>
      </c>
      <c r="E189" s="1321">
        <f>+E97+E98+E108+E113+E169+E170</f>
        <v>394431</v>
      </c>
      <c r="G189" s="118"/>
      <c r="J189" s="119">
        <v>394431677</v>
      </c>
    </row>
    <row r="190" spans="1:10" ht="12.75" thickBot="1">
      <c r="A190" s="1318" t="s">
        <v>1941</v>
      </c>
      <c r="B190" s="1319" t="s">
        <v>2238</v>
      </c>
      <c r="C190" s="1320">
        <v>9464</v>
      </c>
      <c r="D190" s="1320"/>
      <c r="E190" s="1321">
        <f t="shared" ref="E190:E202" si="19">+C190+D190</f>
        <v>9464</v>
      </c>
      <c r="G190" s="118">
        <f>+'1.mell._Össz_Mérleg2019'!E33</f>
        <v>9464</v>
      </c>
      <c r="H190" s="118">
        <f>+G190-E190</f>
        <v>0</v>
      </c>
      <c r="J190" s="118">
        <v>9464111</v>
      </c>
    </row>
    <row r="191" spans="1:10" ht="12.75" thickBot="1">
      <c r="A191" s="1318" t="s">
        <v>1943</v>
      </c>
      <c r="B191" s="1319" t="s">
        <v>2705</v>
      </c>
      <c r="C191" s="1320">
        <v>48453</v>
      </c>
      <c r="D191" s="1320"/>
      <c r="E191" s="1321">
        <f t="shared" si="19"/>
        <v>48453</v>
      </c>
      <c r="G191" s="118">
        <f>+'1.mell._Össz_Mérleg2019'!E34</f>
        <v>48453</v>
      </c>
      <c r="H191" s="118">
        <f>+G191-E191</f>
        <v>0</v>
      </c>
      <c r="J191" s="118">
        <v>48453709</v>
      </c>
    </row>
    <row r="192" spans="1:10">
      <c r="A192" s="1322" t="s">
        <v>1945</v>
      </c>
      <c r="B192" s="1323" t="s">
        <v>2239</v>
      </c>
      <c r="C192" s="1324">
        <v>20497</v>
      </c>
      <c r="D192" s="1324"/>
      <c r="E192" s="1325">
        <f t="shared" si="19"/>
        <v>20497</v>
      </c>
      <c r="J192" s="118">
        <v>20497288</v>
      </c>
    </row>
    <row r="193" spans="1:10" s="810" customFormat="1" ht="12.75" thickBot="1">
      <c r="A193" s="1304" t="s">
        <v>1947</v>
      </c>
      <c r="B193" s="1315" t="s">
        <v>2240</v>
      </c>
      <c r="C193" s="1316"/>
      <c r="D193" s="1316"/>
      <c r="E193" s="1317">
        <f t="shared" si="19"/>
        <v>0</v>
      </c>
      <c r="H193" s="815"/>
      <c r="J193" s="119">
        <v>0</v>
      </c>
    </row>
    <row r="194" spans="1:10" ht="12.75" thickBot="1">
      <c r="A194" s="1318" t="s">
        <v>1948</v>
      </c>
      <c r="B194" s="1319" t="s">
        <v>2706</v>
      </c>
      <c r="C194" s="1320">
        <v>19649</v>
      </c>
      <c r="D194" s="1320"/>
      <c r="E194" s="1321">
        <f t="shared" si="19"/>
        <v>19649</v>
      </c>
      <c r="G194" s="118">
        <f>+'1.mell._Össz_Mérleg2019'!E35</f>
        <v>19649</v>
      </c>
      <c r="H194" s="118">
        <f>+G194-E194</f>
        <v>0</v>
      </c>
      <c r="J194" s="118">
        <v>19649280</v>
      </c>
    </row>
    <row r="195" spans="1:10" ht="12.75" thickBot="1">
      <c r="A195" s="1330" t="s">
        <v>1949</v>
      </c>
      <c r="B195" s="1331" t="s">
        <v>2241</v>
      </c>
      <c r="C195" s="1332">
        <v>6449</v>
      </c>
      <c r="D195" s="1332"/>
      <c r="E195" s="1333">
        <f t="shared" si="19"/>
        <v>6449</v>
      </c>
      <c r="J195" s="118">
        <v>6448801</v>
      </c>
    </row>
    <row r="196" spans="1:10" ht="12.75" thickBot="1">
      <c r="A196" s="1318" t="s">
        <v>1950</v>
      </c>
      <c r="B196" s="1319" t="s">
        <v>2707</v>
      </c>
      <c r="C196" s="1320">
        <v>473</v>
      </c>
      <c r="D196" s="1320"/>
      <c r="E196" s="1321">
        <f t="shared" si="19"/>
        <v>473</v>
      </c>
      <c r="G196" s="118">
        <f>+'1.mell._Össz_Mérleg2019'!E36</f>
        <v>473</v>
      </c>
      <c r="H196" s="118">
        <f>+G196-E196</f>
        <v>0</v>
      </c>
      <c r="J196" s="118">
        <v>472440</v>
      </c>
    </row>
    <row r="197" spans="1:10">
      <c r="A197" s="1322" t="s">
        <v>1952</v>
      </c>
      <c r="B197" s="1323" t="s">
        <v>2242</v>
      </c>
      <c r="C197" s="1324"/>
      <c r="D197" s="1324"/>
      <c r="E197" s="1325">
        <f t="shared" si="19"/>
        <v>0</v>
      </c>
      <c r="J197" s="118">
        <v>0</v>
      </c>
    </row>
    <row r="198" spans="1:10">
      <c r="A198" s="1311" t="s">
        <v>1953</v>
      </c>
      <c r="B198" s="1312" t="s">
        <v>2243</v>
      </c>
      <c r="C198" s="1313"/>
      <c r="D198" s="1313"/>
      <c r="E198" s="1314">
        <f t="shared" si="19"/>
        <v>0</v>
      </c>
      <c r="J198" s="118">
        <v>0</v>
      </c>
    </row>
    <row r="199" spans="1:10">
      <c r="A199" s="1311" t="s">
        <v>1954</v>
      </c>
      <c r="B199" s="1312" t="s">
        <v>2244</v>
      </c>
      <c r="C199" s="1313"/>
      <c r="D199" s="1313"/>
      <c r="E199" s="1314">
        <f t="shared" si="19"/>
        <v>0</v>
      </c>
      <c r="J199" s="118">
        <v>236220</v>
      </c>
    </row>
    <row r="200" spans="1:10">
      <c r="A200" s="1311" t="s">
        <v>1955</v>
      </c>
      <c r="B200" s="1312" t="s">
        <v>2245</v>
      </c>
      <c r="C200" s="1313"/>
      <c r="D200" s="1313"/>
      <c r="E200" s="1314">
        <f t="shared" si="19"/>
        <v>0</v>
      </c>
      <c r="J200" s="118">
        <v>0</v>
      </c>
    </row>
    <row r="201" spans="1:10">
      <c r="A201" s="1311" t="s">
        <v>1956</v>
      </c>
      <c r="B201" s="1312" t="s">
        <v>2246</v>
      </c>
      <c r="C201" s="1313"/>
      <c r="D201" s="1313"/>
      <c r="E201" s="1314">
        <f t="shared" si="19"/>
        <v>0</v>
      </c>
      <c r="J201" s="118">
        <v>0</v>
      </c>
    </row>
    <row r="202" spans="1:10" s="810" customFormat="1" ht="12.75" thickBot="1">
      <c r="A202" s="1304" t="s">
        <v>1957</v>
      </c>
      <c r="B202" s="1315" t="s">
        <v>2247</v>
      </c>
      <c r="C202" s="1316"/>
      <c r="D202" s="1316"/>
      <c r="E202" s="1317">
        <f t="shared" si="19"/>
        <v>0</v>
      </c>
      <c r="H202" s="815"/>
      <c r="J202" s="119">
        <v>0</v>
      </c>
    </row>
    <row r="203" spans="1:10" s="810" customFormat="1" ht="12.75" thickBot="1">
      <c r="A203" s="1318" t="s">
        <v>1958</v>
      </c>
      <c r="B203" s="1319" t="s">
        <v>111</v>
      </c>
      <c r="C203" s="1320">
        <v>8469</v>
      </c>
      <c r="D203" s="1320"/>
      <c r="E203" s="1321">
        <f>+C203+D203</f>
        <v>8469</v>
      </c>
      <c r="G203" s="118">
        <f>+'1.mell._Össz_Mérleg2019'!E37</f>
        <v>8469</v>
      </c>
      <c r="H203" s="118">
        <f t="shared" ref="H203:H205" si="20">+G203-E203</f>
        <v>0</v>
      </c>
      <c r="J203" s="119">
        <v>8469308</v>
      </c>
    </row>
    <row r="204" spans="1:10" s="810" customFormat="1" ht="12.75" thickBot="1">
      <c r="A204" s="1326" t="s">
        <v>1959</v>
      </c>
      <c r="B204" s="1327" t="s">
        <v>112</v>
      </c>
      <c r="C204" s="1328">
        <v>21284</v>
      </c>
      <c r="D204" s="1328"/>
      <c r="E204" s="1329">
        <f>+C204+D204</f>
        <v>21284</v>
      </c>
      <c r="G204" s="118">
        <f>+'1.mell._Össz_Mérleg2019'!E38</f>
        <v>21284</v>
      </c>
      <c r="H204" s="118">
        <f t="shared" si="20"/>
        <v>0</v>
      </c>
      <c r="J204" s="119">
        <v>21283535</v>
      </c>
    </row>
    <row r="205" spans="1:10" s="810" customFormat="1" ht="12.75" thickBot="1">
      <c r="A205" s="1318" t="s">
        <v>1960</v>
      </c>
      <c r="B205" s="1319" t="s">
        <v>113</v>
      </c>
      <c r="C205" s="1320">
        <v>19220</v>
      </c>
      <c r="D205" s="1320"/>
      <c r="E205" s="1321">
        <f>+C205+D205</f>
        <v>19220</v>
      </c>
      <c r="G205" s="118">
        <f>+'1.mell._Össz_Mérleg2019'!E39</f>
        <v>19220</v>
      </c>
      <c r="H205" s="118">
        <f t="shared" si="20"/>
        <v>0</v>
      </c>
      <c r="J205" s="119">
        <v>19220000</v>
      </c>
    </row>
    <row r="206" spans="1:10" ht="12.75" thickBot="1">
      <c r="A206" s="1318" t="s">
        <v>1961</v>
      </c>
      <c r="B206" s="1319" t="s">
        <v>2708</v>
      </c>
      <c r="C206" s="1320"/>
      <c r="D206" s="1320"/>
      <c r="E206" s="1321">
        <f>+C206+D206</f>
        <v>0</v>
      </c>
      <c r="H206" s="810"/>
      <c r="J206" s="118">
        <v>0</v>
      </c>
    </row>
    <row r="207" spans="1:10">
      <c r="A207" s="1322" t="s">
        <v>1962</v>
      </c>
      <c r="B207" s="1323" t="s">
        <v>2248</v>
      </c>
      <c r="C207" s="1324"/>
      <c r="D207" s="1324"/>
      <c r="E207" s="1325">
        <f t="shared" ref="E207:E276" si="21">+C207+D207</f>
        <v>0</v>
      </c>
      <c r="H207" s="810"/>
      <c r="J207" s="118">
        <v>0</v>
      </c>
    </row>
    <row r="208" spans="1:10" ht="12.75" thickBot="1">
      <c r="A208" s="1330" t="s">
        <v>1963</v>
      </c>
      <c r="B208" s="1331" t="s">
        <v>2249</v>
      </c>
      <c r="C208" s="1332"/>
      <c r="D208" s="1332"/>
      <c r="E208" s="1325">
        <f t="shared" si="21"/>
        <v>0</v>
      </c>
      <c r="J208" s="118">
        <v>0</v>
      </c>
    </row>
    <row r="209" spans="1:10" s="810" customFormat="1" ht="12.75" thickBot="1">
      <c r="A209" s="1318" t="s">
        <v>1964</v>
      </c>
      <c r="B209" s="1319" t="s">
        <v>2709</v>
      </c>
      <c r="C209" s="1320"/>
      <c r="D209" s="1320"/>
      <c r="E209" s="1321">
        <f t="shared" si="21"/>
        <v>0</v>
      </c>
      <c r="H209" s="815"/>
      <c r="J209" s="119">
        <v>354</v>
      </c>
    </row>
    <row r="210" spans="1:10">
      <c r="A210" s="1322" t="s">
        <v>1965</v>
      </c>
      <c r="B210" s="1323" t="s">
        <v>2250</v>
      </c>
      <c r="C210" s="1324"/>
      <c r="D210" s="1324"/>
      <c r="E210" s="1325">
        <f t="shared" si="21"/>
        <v>0</v>
      </c>
      <c r="J210" s="118">
        <v>0</v>
      </c>
    </row>
    <row r="211" spans="1:10" ht="12.75" thickBot="1">
      <c r="A211" s="1304" t="s">
        <v>1967</v>
      </c>
      <c r="B211" s="1315" t="s">
        <v>2251</v>
      </c>
      <c r="C211" s="1316"/>
      <c r="D211" s="1316"/>
      <c r="E211" s="1317">
        <f t="shared" si="21"/>
        <v>0</v>
      </c>
      <c r="H211" s="810"/>
      <c r="J211" s="118">
        <v>0</v>
      </c>
    </row>
    <row r="212" spans="1:10" ht="12.75" thickBot="1">
      <c r="A212" s="1318" t="s">
        <v>1969</v>
      </c>
      <c r="B212" s="1319" t="s">
        <v>2710</v>
      </c>
      <c r="C212" s="1320">
        <f>+C206+C209</f>
        <v>0</v>
      </c>
      <c r="D212" s="1320">
        <f>+D206+D209</f>
        <v>0</v>
      </c>
      <c r="E212" s="1321">
        <f>+E206+E209</f>
        <v>0</v>
      </c>
      <c r="G212" s="118">
        <f>+'1.mell._Össz_Mérleg2019'!E40</f>
        <v>0</v>
      </c>
      <c r="H212" s="118">
        <f>+G212-E212</f>
        <v>0</v>
      </c>
      <c r="J212" s="118">
        <v>354</v>
      </c>
    </row>
    <row r="213" spans="1:10" ht="12.75" thickBot="1">
      <c r="A213" s="1330" t="s">
        <v>1971</v>
      </c>
      <c r="B213" s="1331" t="s">
        <v>2252</v>
      </c>
      <c r="C213" s="1332"/>
      <c r="D213" s="1332"/>
      <c r="E213" s="1333">
        <f t="shared" si="21"/>
        <v>0</v>
      </c>
      <c r="J213" s="118">
        <v>0</v>
      </c>
    </row>
    <row r="214" spans="1:10" s="810" customFormat="1" ht="12.75" thickBot="1">
      <c r="A214" s="1318" t="s">
        <v>1973</v>
      </c>
      <c r="B214" s="1319" t="s">
        <v>2711</v>
      </c>
      <c r="C214" s="1320">
        <v>0</v>
      </c>
      <c r="D214" s="1320">
        <v>0</v>
      </c>
      <c r="E214" s="1321">
        <f t="shared" si="21"/>
        <v>0</v>
      </c>
      <c r="H214" s="815"/>
      <c r="J214" s="119">
        <v>0</v>
      </c>
    </row>
    <row r="215" spans="1:10" s="810" customFormat="1">
      <c r="A215" s="1322" t="s">
        <v>1975</v>
      </c>
      <c r="B215" s="1323" t="s">
        <v>2253</v>
      </c>
      <c r="C215" s="1324"/>
      <c r="D215" s="1324"/>
      <c r="E215" s="1314">
        <f t="shared" si="21"/>
        <v>0</v>
      </c>
      <c r="H215" s="815"/>
      <c r="J215" s="119">
        <v>0</v>
      </c>
    </row>
    <row r="216" spans="1:10">
      <c r="A216" s="1311" t="s">
        <v>1977</v>
      </c>
      <c r="B216" s="1312" t="s">
        <v>2254</v>
      </c>
      <c r="C216" s="1313"/>
      <c r="D216" s="1313"/>
      <c r="E216" s="1314">
        <f t="shared" si="21"/>
        <v>0</v>
      </c>
      <c r="J216" s="118">
        <v>0</v>
      </c>
    </row>
    <row r="217" spans="1:10">
      <c r="A217" s="1311" t="s">
        <v>1979</v>
      </c>
      <c r="B217" s="1312" t="s">
        <v>2255</v>
      </c>
      <c r="C217" s="1313"/>
      <c r="D217" s="1313"/>
      <c r="E217" s="1314">
        <f t="shared" si="21"/>
        <v>0</v>
      </c>
      <c r="J217" s="118">
        <v>0</v>
      </c>
    </row>
    <row r="218" spans="1:10" s="810" customFormat="1">
      <c r="A218" s="1311" t="s">
        <v>1981</v>
      </c>
      <c r="B218" s="1312" t="s">
        <v>2256</v>
      </c>
      <c r="C218" s="1313"/>
      <c r="D218" s="1313"/>
      <c r="E218" s="1314">
        <f t="shared" si="21"/>
        <v>0</v>
      </c>
      <c r="H218" s="815"/>
      <c r="J218" s="119">
        <v>0</v>
      </c>
    </row>
    <row r="219" spans="1:10" ht="12.75" thickBot="1">
      <c r="A219" s="1304" t="s">
        <v>1983</v>
      </c>
      <c r="B219" s="1315" t="s">
        <v>2257</v>
      </c>
      <c r="C219" s="1316"/>
      <c r="D219" s="1316"/>
      <c r="E219" s="1317">
        <f t="shared" si="21"/>
        <v>0</v>
      </c>
      <c r="J219" s="118">
        <v>0</v>
      </c>
    </row>
    <row r="220" spans="1:10" ht="12.75" thickBot="1">
      <c r="A220" s="1318" t="s">
        <v>1985</v>
      </c>
      <c r="B220" s="1319" t="s">
        <v>2712</v>
      </c>
      <c r="C220" s="1320">
        <f>+C213+C214</f>
        <v>0</v>
      </c>
      <c r="D220" s="1320">
        <f>+D213+D214</f>
        <v>0</v>
      </c>
      <c r="E220" s="1321">
        <f>+E213+E214</f>
        <v>0</v>
      </c>
      <c r="G220" s="118">
        <f>+'1.mell._Össz_Mérleg2019'!E41</f>
        <v>0</v>
      </c>
      <c r="H220" s="118">
        <f t="shared" ref="H220:H222" si="22">+G220-E220</f>
        <v>0</v>
      </c>
      <c r="J220" s="118">
        <v>0</v>
      </c>
    </row>
    <row r="221" spans="1:10" ht="12.75" thickBot="1">
      <c r="A221" s="1318" t="s">
        <v>1986</v>
      </c>
      <c r="B221" s="1319" t="s">
        <v>902</v>
      </c>
      <c r="C221" s="1320">
        <v>482</v>
      </c>
      <c r="D221" s="1320"/>
      <c r="E221" s="1321">
        <f t="shared" si="21"/>
        <v>482</v>
      </c>
      <c r="G221" s="118">
        <f>+'1.mell._Össz_Mérleg2019'!E42</f>
        <v>482</v>
      </c>
      <c r="H221" s="118">
        <f t="shared" si="22"/>
        <v>0</v>
      </c>
      <c r="J221" s="118">
        <v>482037</v>
      </c>
    </row>
    <row r="222" spans="1:10" ht="12.75" thickBot="1">
      <c r="A222" s="1318" t="s">
        <v>1988</v>
      </c>
      <c r="B222" s="1319" t="s">
        <v>2713</v>
      </c>
      <c r="C222" s="1320">
        <v>2091</v>
      </c>
      <c r="D222" s="1320"/>
      <c r="E222" s="1321">
        <f t="shared" si="21"/>
        <v>2091</v>
      </c>
      <c r="G222" s="118">
        <f>+'1.mell._Össz_Mérleg2019'!E43</f>
        <v>2091</v>
      </c>
      <c r="H222" s="118">
        <f t="shared" si="22"/>
        <v>0</v>
      </c>
      <c r="J222" s="118">
        <v>2090733</v>
      </c>
    </row>
    <row r="223" spans="1:10" ht="36">
      <c r="A223" s="1322" t="s">
        <v>1990</v>
      </c>
      <c r="B223" s="1323" t="s">
        <v>2258</v>
      </c>
      <c r="C223" s="1324">
        <v>11</v>
      </c>
      <c r="D223" s="1324"/>
      <c r="E223" s="1325">
        <f t="shared" si="21"/>
        <v>11</v>
      </c>
      <c r="H223" s="810"/>
      <c r="J223" s="118">
        <v>10676</v>
      </c>
    </row>
    <row r="224" spans="1:10" ht="12.75" thickBot="1">
      <c r="A224" s="1304" t="s">
        <v>1992</v>
      </c>
      <c r="B224" s="1315" t="s">
        <v>2259</v>
      </c>
      <c r="C224" s="1316">
        <v>299</v>
      </c>
      <c r="D224" s="1316"/>
      <c r="E224" s="1317">
        <f t="shared" si="21"/>
        <v>299</v>
      </c>
      <c r="J224" s="118">
        <v>298792</v>
      </c>
    </row>
    <row r="225" spans="1:10" ht="12.75" thickBot="1">
      <c r="A225" s="1318" t="s">
        <v>1994</v>
      </c>
      <c r="B225" s="1319" t="s">
        <v>2714</v>
      </c>
      <c r="C225" s="1320">
        <f>+C190+C191+C194+C196+C203+C204+C205+C220+C212+C221+C222</f>
        <v>129585</v>
      </c>
      <c r="D225" s="1320">
        <f>+D190+D191+D194+D196+D203+D204+D205+D220+D212+D221+D222</f>
        <v>0</v>
      </c>
      <c r="E225" s="1321">
        <f>+E190+E191+E194+E196+E203+E204+E205+E220+E212+E221+E222</f>
        <v>129585</v>
      </c>
      <c r="J225" s="118">
        <v>129585507</v>
      </c>
    </row>
    <row r="226" spans="1:10">
      <c r="A226" s="1322" t="s">
        <v>1996</v>
      </c>
      <c r="B226" s="1323" t="s">
        <v>2715</v>
      </c>
      <c r="C226" s="1324"/>
      <c r="D226" s="1324"/>
      <c r="E226" s="1325">
        <f t="shared" si="21"/>
        <v>0</v>
      </c>
      <c r="G226" s="118">
        <f>+'1.mell._Össz_Mérleg2019'!E59</f>
        <v>0</v>
      </c>
      <c r="H226" s="118">
        <f>+G226-E226</f>
        <v>0</v>
      </c>
      <c r="J226" s="118">
        <v>0</v>
      </c>
    </row>
    <row r="227" spans="1:10" s="810" customFormat="1">
      <c r="A227" s="1311" t="s">
        <v>1998</v>
      </c>
      <c r="B227" s="1312" t="s">
        <v>2260</v>
      </c>
      <c r="C227" s="1313"/>
      <c r="D227" s="1313"/>
      <c r="E227" s="1314">
        <f t="shared" si="21"/>
        <v>0</v>
      </c>
      <c r="J227" s="119">
        <v>0</v>
      </c>
    </row>
    <row r="228" spans="1:10">
      <c r="A228" s="1311" t="s">
        <v>2000</v>
      </c>
      <c r="B228" s="1312" t="s">
        <v>2716</v>
      </c>
      <c r="C228" s="1313">
        <v>3607</v>
      </c>
      <c r="D228" s="1313"/>
      <c r="E228" s="1314">
        <f t="shared" si="21"/>
        <v>3607</v>
      </c>
      <c r="G228" s="118">
        <f>+'1.mell._Össz_Mérleg2019'!E60</f>
        <v>3607</v>
      </c>
      <c r="H228" s="118">
        <f>+G228-E228</f>
        <v>0</v>
      </c>
      <c r="J228" s="118">
        <v>3606662</v>
      </c>
    </row>
    <row r="229" spans="1:10">
      <c r="A229" s="1322" t="s">
        <v>2002</v>
      </c>
      <c r="B229" s="1323" t="s">
        <v>2261</v>
      </c>
      <c r="C229" s="1324"/>
      <c r="D229" s="1324"/>
      <c r="E229" s="1325">
        <f t="shared" si="21"/>
        <v>0</v>
      </c>
      <c r="J229" s="118">
        <v>0</v>
      </c>
    </row>
    <row r="230" spans="1:10">
      <c r="A230" s="1311" t="s">
        <v>2004</v>
      </c>
      <c r="B230" s="1312" t="s">
        <v>123</v>
      </c>
      <c r="C230" s="1313">
        <v>415</v>
      </c>
      <c r="D230" s="1313"/>
      <c r="E230" s="1314">
        <f t="shared" si="21"/>
        <v>415</v>
      </c>
      <c r="G230" s="118">
        <f>+'1.mell._Össz_Mérleg2019'!E61</f>
        <v>415</v>
      </c>
      <c r="H230" s="118">
        <f t="shared" ref="H230:H231" si="23">+G230-E230</f>
        <v>0</v>
      </c>
      <c r="J230" s="118">
        <v>415000</v>
      </c>
    </row>
    <row r="231" spans="1:10" s="810" customFormat="1">
      <c r="A231" s="1311" t="s">
        <v>2006</v>
      </c>
      <c r="B231" s="1312" t="s">
        <v>2717</v>
      </c>
      <c r="C231" s="1313"/>
      <c r="D231" s="1313"/>
      <c r="E231" s="1314">
        <f t="shared" si="21"/>
        <v>0</v>
      </c>
      <c r="G231" s="118">
        <f>+'1.mell._Össz_Mérleg2019'!E62</f>
        <v>0</v>
      </c>
      <c r="H231" s="118">
        <f t="shared" si="23"/>
        <v>0</v>
      </c>
      <c r="J231" s="119">
        <v>0</v>
      </c>
    </row>
    <row r="232" spans="1:10">
      <c r="A232" s="1311" t="s">
        <v>2007</v>
      </c>
      <c r="B232" s="1312" t="s">
        <v>2262</v>
      </c>
      <c r="C232" s="1313"/>
      <c r="D232" s="1313"/>
      <c r="E232" s="1314">
        <f t="shared" si="21"/>
        <v>0</v>
      </c>
      <c r="H232" s="810"/>
      <c r="J232" s="118">
        <v>0</v>
      </c>
    </row>
    <row r="233" spans="1:10" ht="12.75" thickBot="1">
      <c r="A233" s="1304" t="s">
        <v>2009</v>
      </c>
      <c r="B233" s="1315" t="s">
        <v>125</v>
      </c>
      <c r="C233" s="1316"/>
      <c r="D233" s="1316"/>
      <c r="E233" s="1317">
        <f t="shared" si="21"/>
        <v>0</v>
      </c>
      <c r="G233" s="118">
        <f>+'1.mell._Össz_Mérleg2019'!E63</f>
        <v>0</v>
      </c>
      <c r="H233" s="118">
        <f>+G233-E233</f>
        <v>0</v>
      </c>
      <c r="J233" s="118">
        <v>0</v>
      </c>
    </row>
    <row r="234" spans="1:10" ht="12.75" thickBot="1">
      <c r="A234" s="1318" t="s">
        <v>2011</v>
      </c>
      <c r="B234" s="1319" t="s">
        <v>2718</v>
      </c>
      <c r="C234" s="1320">
        <f>+C226+C228+C230+C231+C233</f>
        <v>4022</v>
      </c>
      <c r="D234" s="1320">
        <f>+D226+D228+D230+D231+D233</f>
        <v>0</v>
      </c>
      <c r="E234" s="1321">
        <f>+E226+E228+E230+E231+E233</f>
        <v>4022</v>
      </c>
      <c r="J234" s="118">
        <v>4021662</v>
      </c>
    </row>
    <row r="235" spans="1:10" ht="12.75" thickBot="1">
      <c r="A235" s="1342" t="s">
        <v>2013</v>
      </c>
      <c r="B235" s="1343" t="s">
        <v>115</v>
      </c>
      <c r="C235" s="1344"/>
      <c r="D235" s="1344"/>
      <c r="E235" s="1345">
        <f t="shared" si="21"/>
        <v>0</v>
      </c>
      <c r="G235" s="118">
        <f>+'1.mell._Össz_Mérleg2019'!E45</f>
        <v>0</v>
      </c>
      <c r="H235" s="118">
        <f t="shared" ref="H235:H238" si="24">+G235-E235</f>
        <v>0</v>
      </c>
      <c r="J235" s="118">
        <v>0</v>
      </c>
    </row>
    <row r="236" spans="1:10" ht="12.75" thickBot="1">
      <c r="A236" s="1318" t="s">
        <v>2015</v>
      </c>
      <c r="B236" s="1319" t="s">
        <v>904</v>
      </c>
      <c r="C236" s="1320"/>
      <c r="D236" s="1320"/>
      <c r="E236" s="1321">
        <f t="shared" si="21"/>
        <v>0</v>
      </c>
      <c r="G236" s="118">
        <f>+'1.mell._Össz_Mérleg2019'!E46</f>
        <v>0</v>
      </c>
      <c r="H236" s="118">
        <f t="shared" si="24"/>
        <v>0</v>
      </c>
      <c r="J236" s="118">
        <v>0</v>
      </c>
    </row>
    <row r="237" spans="1:10" ht="24.75" thickBot="1">
      <c r="A237" s="1346" t="s">
        <v>2017</v>
      </c>
      <c r="B237" s="1347" t="s">
        <v>905</v>
      </c>
      <c r="C237" s="1348"/>
      <c r="D237" s="1348"/>
      <c r="E237" s="1349">
        <f t="shared" si="21"/>
        <v>0</v>
      </c>
      <c r="G237" s="118">
        <f>+'1.mell._Össz_Mérleg2019'!E47</f>
        <v>0</v>
      </c>
      <c r="H237" s="118">
        <f t="shared" si="24"/>
        <v>0</v>
      </c>
      <c r="J237" s="118">
        <v>0</v>
      </c>
    </row>
    <row r="238" spans="1:10" ht="24.75" thickBot="1">
      <c r="A238" s="1318" t="s">
        <v>2019</v>
      </c>
      <c r="B238" s="1319" t="s">
        <v>2719</v>
      </c>
      <c r="C238" s="1320">
        <f>SUM(C239:C247)</f>
        <v>44885</v>
      </c>
      <c r="D238" s="1320">
        <f>SUM(D239:D247)</f>
        <v>0</v>
      </c>
      <c r="E238" s="1321">
        <f>SUM(E239:E247)</f>
        <v>44885</v>
      </c>
      <c r="G238" s="118">
        <f>+'1.mell._Össz_Mérleg2019'!E48</f>
        <v>44885</v>
      </c>
      <c r="H238" s="118">
        <f t="shared" si="24"/>
        <v>0</v>
      </c>
      <c r="J238" s="118">
        <v>44884800</v>
      </c>
    </row>
    <row r="239" spans="1:10">
      <c r="A239" s="1322" t="s">
        <v>2021</v>
      </c>
      <c r="B239" s="1323" t="s">
        <v>2263</v>
      </c>
      <c r="C239" s="1324"/>
      <c r="D239" s="1324"/>
      <c r="E239" s="1325">
        <f t="shared" si="21"/>
        <v>0</v>
      </c>
      <c r="J239" s="118">
        <v>0</v>
      </c>
    </row>
    <row r="240" spans="1:10">
      <c r="A240" s="1311" t="s">
        <v>2023</v>
      </c>
      <c r="B240" s="1312" t="s">
        <v>2264</v>
      </c>
      <c r="C240" s="1313"/>
      <c r="D240" s="1313"/>
      <c r="E240" s="1314">
        <f t="shared" si="21"/>
        <v>0</v>
      </c>
      <c r="J240" s="118">
        <v>0</v>
      </c>
    </row>
    <row r="241" spans="1:10" s="810" customFormat="1">
      <c r="A241" s="1311" t="s">
        <v>2025</v>
      </c>
      <c r="B241" s="1312" t="s">
        <v>2265</v>
      </c>
      <c r="C241" s="1313"/>
      <c r="D241" s="1313"/>
      <c r="E241" s="1314">
        <f t="shared" si="21"/>
        <v>0</v>
      </c>
      <c r="H241" s="815"/>
      <c r="J241" s="119">
        <v>0</v>
      </c>
    </row>
    <row r="242" spans="1:10">
      <c r="A242" s="1311" t="s">
        <v>2027</v>
      </c>
      <c r="B242" s="1312" t="s">
        <v>2266</v>
      </c>
      <c r="C242" s="1313">
        <v>71</v>
      </c>
      <c r="D242" s="1313"/>
      <c r="E242" s="1314">
        <f t="shared" si="21"/>
        <v>71</v>
      </c>
      <c r="J242" s="118">
        <v>71000</v>
      </c>
    </row>
    <row r="243" spans="1:10">
      <c r="A243" s="1311" t="s">
        <v>2028</v>
      </c>
      <c r="B243" s="1312" t="s">
        <v>2267</v>
      </c>
      <c r="C243" s="1313"/>
      <c r="D243" s="1313"/>
      <c r="E243" s="1314">
        <f t="shared" si="21"/>
        <v>0</v>
      </c>
      <c r="J243" s="118">
        <v>0</v>
      </c>
    </row>
    <row r="244" spans="1:10">
      <c r="A244" s="1311" t="s">
        <v>2030</v>
      </c>
      <c r="B244" s="1312" t="s">
        <v>2268</v>
      </c>
      <c r="C244" s="1313"/>
      <c r="D244" s="1313"/>
      <c r="E244" s="1314">
        <f t="shared" si="21"/>
        <v>0</v>
      </c>
      <c r="J244" s="118">
        <v>0</v>
      </c>
    </row>
    <row r="245" spans="1:10">
      <c r="A245" s="1311" t="s">
        <v>2031</v>
      </c>
      <c r="B245" s="1312" t="s">
        <v>2269</v>
      </c>
      <c r="C245" s="1313">
        <v>44814</v>
      </c>
      <c r="D245" s="1313"/>
      <c r="E245" s="1314">
        <f t="shared" si="21"/>
        <v>44814</v>
      </c>
      <c r="H245" s="810"/>
      <c r="J245" s="118">
        <v>44813800</v>
      </c>
    </row>
    <row r="246" spans="1:10">
      <c r="A246" s="1311" t="s">
        <v>2033</v>
      </c>
      <c r="B246" s="1312" t="s">
        <v>2270</v>
      </c>
      <c r="C246" s="1313"/>
      <c r="D246" s="1313"/>
      <c r="E246" s="1314">
        <f t="shared" si="21"/>
        <v>0</v>
      </c>
      <c r="J246" s="118">
        <v>0</v>
      </c>
    </row>
    <row r="247" spans="1:10" ht="12.75" thickBot="1">
      <c r="A247" s="1304" t="s">
        <v>2035</v>
      </c>
      <c r="B247" s="1315" t="s">
        <v>2271</v>
      </c>
      <c r="C247" s="1316"/>
      <c r="D247" s="1316"/>
      <c r="E247" s="1317">
        <f t="shared" si="21"/>
        <v>0</v>
      </c>
      <c r="J247" s="118">
        <v>0</v>
      </c>
    </row>
    <row r="248" spans="1:10" ht="12.75" thickBot="1">
      <c r="A248" s="1318" t="s">
        <v>2037</v>
      </c>
      <c r="B248" s="1319" t="s">
        <v>2720</v>
      </c>
      <c r="C248" s="1320">
        <f>SUM(C249:C259)</f>
        <v>2920</v>
      </c>
      <c r="D248" s="1320">
        <f>SUM(D249:D259)</f>
        <v>0</v>
      </c>
      <c r="E248" s="1321">
        <f>SUM(E249:E259)</f>
        <v>2920</v>
      </c>
      <c r="G248" s="118">
        <f>+'1.mell._Össz_Mérleg2019'!E49</f>
        <v>2920</v>
      </c>
      <c r="H248" s="118">
        <f>+G248-E248</f>
        <v>0</v>
      </c>
      <c r="J248" s="118">
        <v>2920495</v>
      </c>
    </row>
    <row r="249" spans="1:10">
      <c r="A249" s="1322" t="s">
        <v>2039</v>
      </c>
      <c r="B249" s="1323" t="s">
        <v>2272</v>
      </c>
      <c r="C249" s="1324"/>
      <c r="D249" s="1324"/>
      <c r="E249" s="1325">
        <f t="shared" si="21"/>
        <v>0</v>
      </c>
      <c r="H249" s="810"/>
      <c r="J249" s="118">
        <v>0</v>
      </c>
    </row>
    <row r="250" spans="1:10">
      <c r="A250" s="1311" t="s">
        <v>2041</v>
      </c>
      <c r="B250" s="1312" t="s">
        <v>2273</v>
      </c>
      <c r="C250" s="1313"/>
      <c r="D250" s="1313"/>
      <c r="E250" s="1314">
        <f t="shared" si="21"/>
        <v>0</v>
      </c>
      <c r="J250" s="118">
        <v>0</v>
      </c>
    </row>
    <row r="251" spans="1:10">
      <c r="A251" s="1311" t="s">
        <v>2043</v>
      </c>
      <c r="B251" s="1312" t="s">
        <v>2274</v>
      </c>
      <c r="C251" s="1313">
        <v>900</v>
      </c>
      <c r="D251" s="1313"/>
      <c r="E251" s="1314">
        <f t="shared" si="21"/>
        <v>900</v>
      </c>
      <c r="J251" s="118">
        <v>900000</v>
      </c>
    </row>
    <row r="252" spans="1:10">
      <c r="A252" s="1311" t="s">
        <v>2045</v>
      </c>
      <c r="B252" s="1312" t="s">
        <v>2275</v>
      </c>
      <c r="C252" s="1313">
        <v>20</v>
      </c>
      <c r="D252" s="1313"/>
      <c r="E252" s="1314">
        <f t="shared" si="21"/>
        <v>20</v>
      </c>
      <c r="J252" s="118">
        <v>20495</v>
      </c>
    </row>
    <row r="253" spans="1:10" s="810" customFormat="1">
      <c r="A253" s="1311" t="s">
        <v>2047</v>
      </c>
      <c r="B253" s="1312" t="s">
        <v>2276</v>
      </c>
      <c r="C253" s="1313"/>
      <c r="D253" s="1313"/>
      <c r="E253" s="1314">
        <f t="shared" si="21"/>
        <v>0</v>
      </c>
      <c r="H253" s="815"/>
      <c r="J253" s="119">
        <v>0</v>
      </c>
    </row>
    <row r="254" spans="1:10">
      <c r="A254" s="1311" t="s">
        <v>2049</v>
      </c>
      <c r="B254" s="1312" t="s">
        <v>2277</v>
      </c>
      <c r="C254" s="1313"/>
      <c r="D254" s="1313"/>
      <c r="E254" s="1314">
        <f t="shared" si="21"/>
        <v>0</v>
      </c>
      <c r="J254" s="118">
        <v>0</v>
      </c>
    </row>
    <row r="255" spans="1:10">
      <c r="A255" s="1322" t="s">
        <v>2051</v>
      </c>
      <c r="B255" s="1323" t="s">
        <v>2278</v>
      </c>
      <c r="C255" s="1324"/>
      <c r="D255" s="1324"/>
      <c r="E255" s="1325">
        <f t="shared" si="21"/>
        <v>0</v>
      </c>
      <c r="J255" s="118">
        <v>0</v>
      </c>
    </row>
    <row r="256" spans="1:10">
      <c r="A256" s="1311" t="s">
        <v>2053</v>
      </c>
      <c r="B256" s="1312" t="s">
        <v>2279</v>
      </c>
      <c r="C256" s="1313">
        <v>2000</v>
      </c>
      <c r="D256" s="1313"/>
      <c r="E256" s="1314">
        <f t="shared" si="21"/>
        <v>2000</v>
      </c>
      <c r="J256" s="118">
        <v>2000000</v>
      </c>
    </row>
    <row r="257" spans="1:10">
      <c r="A257" s="1311" t="s">
        <v>2054</v>
      </c>
      <c r="B257" s="1312" t="s">
        <v>2280</v>
      </c>
      <c r="C257" s="1313"/>
      <c r="D257" s="1313"/>
      <c r="E257" s="1314">
        <f t="shared" si="21"/>
        <v>0</v>
      </c>
      <c r="J257" s="118">
        <v>0</v>
      </c>
    </row>
    <row r="258" spans="1:10">
      <c r="A258" s="1311" t="s">
        <v>2055</v>
      </c>
      <c r="B258" s="1312" t="s">
        <v>2281</v>
      </c>
      <c r="C258" s="1313"/>
      <c r="D258" s="1313"/>
      <c r="E258" s="1314">
        <f t="shared" si="21"/>
        <v>0</v>
      </c>
      <c r="J258" s="118">
        <v>0</v>
      </c>
    </row>
    <row r="259" spans="1:10" ht="12.75" thickBot="1">
      <c r="A259" s="1304" t="s">
        <v>2056</v>
      </c>
      <c r="B259" s="1315" t="s">
        <v>2282</v>
      </c>
      <c r="C259" s="1316"/>
      <c r="D259" s="1316"/>
      <c r="E259" s="1317">
        <f t="shared" si="21"/>
        <v>0</v>
      </c>
      <c r="H259" s="810"/>
      <c r="J259" s="118">
        <v>0</v>
      </c>
    </row>
    <row r="260" spans="1:10" ht="12.75" thickBot="1">
      <c r="A260" s="1318" t="s">
        <v>2058</v>
      </c>
      <c r="B260" s="1319" t="s">
        <v>2721</v>
      </c>
      <c r="C260" s="1320">
        <f>+C235+C236+C237+C238+C248</f>
        <v>47805</v>
      </c>
      <c r="D260" s="1320">
        <f>+D235+D236+D237+D238+D248</f>
        <v>0</v>
      </c>
      <c r="E260" s="1321">
        <f>+E235+E236+E237+E238+E248</f>
        <v>47805</v>
      </c>
      <c r="J260" s="118">
        <v>47805295</v>
      </c>
    </row>
    <row r="261" spans="1:10" ht="24.75" thickBot="1">
      <c r="A261" s="1318" t="s">
        <v>2060</v>
      </c>
      <c r="B261" s="1319" t="s">
        <v>126</v>
      </c>
      <c r="C261" s="1320"/>
      <c r="D261" s="1320"/>
      <c r="E261" s="1321">
        <f t="shared" si="21"/>
        <v>0</v>
      </c>
      <c r="G261" s="118">
        <f>+'1.mell._Össz_Mérleg2019'!E65</f>
        <v>0</v>
      </c>
      <c r="H261" s="118">
        <f t="shared" ref="H261:H263" si="25">+G261-E261</f>
        <v>0</v>
      </c>
      <c r="J261" s="118">
        <v>0</v>
      </c>
    </row>
    <row r="262" spans="1:10" ht="12.75" thickBot="1">
      <c r="A262" s="1326" t="s">
        <v>2062</v>
      </c>
      <c r="B262" s="1327" t="s">
        <v>912</v>
      </c>
      <c r="C262" s="1328"/>
      <c r="D262" s="1328"/>
      <c r="E262" s="1329">
        <f t="shared" si="21"/>
        <v>0</v>
      </c>
      <c r="G262" s="118">
        <f>+'1.mell._Össz_Mérleg2019'!E66</f>
        <v>0</v>
      </c>
      <c r="H262" s="118">
        <f t="shared" si="25"/>
        <v>0</v>
      </c>
      <c r="J262" s="118">
        <v>0</v>
      </c>
    </row>
    <row r="263" spans="1:10" ht="24.75" thickBot="1">
      <c r="A263" s="1318" t="s">
        <v>2064</v>
      </c>
      <c r="B263" s="1319" t="s">
        <v>913</v>
      </c>
      <c r="C263" s="1320"/>
      <c r="D263" s="1320"/>
      <c r="E263" s="1321">
        <f t="shared" si="21"/>
        <v>0</v>
      </c>
      <c r="G263" s="118">
        <f>+'1.mell._Össz_Mérleg2019'!E67</f>
        <v>0</v>
      </c>
      <c r="H263" s="118">
        <f t="shared" si="25"/>
        <v>0</v>
      </c>
      <c r="J263" s="118">
        <v>0</v>
      </c>
    </row>
    <row r="264" spans="1:10" ht="24.75" thickBot="1">
      <c r="A264" s="1346" t="s">
        <v>2066</v>
      </c>
      <c r="B264" s="1347" t="s">
        <v>2722</v>
      </c>
      <c r="C264" s="1348">
        <f>SUM(C265:C273)</f>
        <v>839</v>
      </c>
      <c r="D264" s="1348">
        <f>SUM(D265:D273)</f>
        <v>0</v>
      </c>
      <c r="E264" s="1349">
        <f>SUM(E265:E273)</f>
        <v>839</v>
      </c>
      <c r="G264" s="118">
        <f>+'1.mell._Össz_Mérleg2019'!E68</f>
        <v>838</v>
      </c>
      <c r="H264" s="118">
        <f>+G264-E264</f>
        <v>-1</v>
      </c>
      <c r="J264" s="118">
        <v>838507</v>
      </c>
    </row>
    <row r="265" spans="1:10">
      <c r="A265" s="1322" t="s">
        <v>2068</v>
      </c>
      <c r="B265" s="1323" t="s">
        <v>2283</v>
      </c>
      <c r="C265" s="1324"/>
      <c r="D265" s="1324"/>
      <c r="E265" s="1325">
        <f t="shared" si="21"/>
        <v>0</v>
      </c>
      <c r="J265" s="118">
        <v>0</v>
      </c>
    </row>
    <row r="266" spans="1:10">
      <c r="A266" s="1311" t="s">
        <v>2070</v>
      </c>
      <c r="B266" s="1312" t="s">
        <v>2284</v>
      </c>
      <c r="C266" s="1313"/>
      <c r="D266" s="1313"/>
      <c r="E266" s="1314">
        <f t="shared" si="21"/>
        <v>0</v>
      </c>
      <c r="J266" s="118">
        <v>0</v>
      </c>
    </row>
    <row r="267" spans="1:10" s="810" customFormat="1">
      <c r="A267" s="1311" t="s">
        <v>2072</v>
      </c>
      <c r="B267" s="1312" t="s">
        <v>2285</v>
      </c>
      <c r="C267" s="1313"/>
      <c r="D267" s="1313"/>
      <c r="E267" s="1314">
        <f t="shared" si="21"/>
        <v>0</v>
      </c>
      <c r="H267" s="815"/>
      <c r="J267" s="119">
        <v>0</v>
      </c>
    </row>
    <row r="268" spans="1:10">
      <c r="A268" s="1311" t="s">
        <v>2074</v>
      </c>
      <c r="B268" s="1312" t="s">
        <v>2286</v>
      </c>
      <c r="C268" s="1313">
        <v>839</v>
      </c>
      <c r="D268" s="1313"/>
      <c r="E268" s="1314">
        <f t="shared" si="21"/>
        <v>839</v>
      </c>
      <c r="J268" s="118">
        <v>838507</v>
      </c>
    </row>
    <row r="269" spans="1:10">
      <c r="A269" s="1311" t="s">
        <v>2076</v>
      </c>
      <c r="B269" s="1312" t="s">
        <v>2288</v>
      </c>
      <c r="C269" s="1313"/>
      <c r="D269" s="1313"/>
      <c r="E269" s="1314">
        <f t="shared" si="21"/>
        <v>0</v>
      </c>
      <c r="J269" s="118">
        <v>0</v>
      </c>
    </row>
    <row r="270" spans="1:10">
      <c r="A270" s="1311" t="s">
        <v>2077</v>
      </c>
      <c r="B270" s="1312" t="s">
        <v>2290</v>
      </c>
      <c r="C270" s="1313"/>
      <c r="D270" s="1313"/>
      <c r="E270" s="1314">
        <f t="shared" si="21"/>
        <v>0</v>
      </c>
      <c r="J270" s="118">
        <v>0</v>
      </c>
    </row>
    <row r="271" spans="1:10">
      <c r="A271" s="1311" t="s">
        <v>2287</v>
      </c>
      <c r="B271" s="1312" t="s">
        <v>2292</v>
      </c>
      <c r="C271" s="1313"/>
      <c r="D271" s="1313"/>
      <c r="E271" s="1314">
        <f t="shared" si="21"/>
        <v>0</v>
      </c>
      <c r="H271" s="810"/>
      <c r="J271" s="118">
        <v>0</v>
      </c>
    </row>
    <row r="272" spans="1:10">
      <c r="A272" s="1311" t="s">
        <v>2289</v>
      </c>
      <c r="B272" s="1312" t="s">
        <v>2294</v>
      </c>
      <c r="C272" s="1313"/>
      <c r="D272" s="1313"/>
      <c r="E272" s="1314">
        <f t="shared" si="21"/>
        <v>0</v>
      </c>
      <c r="J272" s="118">
        <v>0</v>
      </c>
    </row>
    <row r="273" spans="1:10" ht="12.75" thickBot="1">
      <c r="A273" s="1304" t="s">
        <v>2291</v>
      </c>
      <c r="B273" s="1315" t="s">
        <v>2296</v>
      </c>
      <c r="C273" s="1316"/>
      <c r="D273" s="1316"/>
      <c r="E273" s="1317">
        <f t="shared" si="21"/>
        <v>0</v>
      </c>
      <c r="J273" s="118">
        <v>0</v>
      </c>
    </row>
    <row r="274" spans="1:10" ht="12.75" thickBot="1">
      <c r="A274" s="1318" t="s">
        <v>2293</v>
      </c>
      <c r="B274" s="1319" t="s">
        <v>2723</v>
      </c>
      <c r="C274" s="1320">
        <f>SUM(C275:C285)</f>
        <v>0</v>
      </c>
      <c r="D274" s="1320">
        <f>SUM(D275:D285)</f>
        <v>0</v>
      </c>
      <c r="E274" s="1321">
        <f>SUM(E275:E285)</f>
        <v>0</v>
      </c>
      <c r="G274" s="118">
        <f>+'1.mell._Össz_Mérleg2019'!E69</f>
        <v>0</v>
      </c>
      <c r="H274" s="118">
        <f>+G274-E274</f>
        <v>0</v>
      </c>
      <c r="J274" s="118">
        <v>0</v>
      </c>
    </row>
    <row r="275" spans="1:10">
      <c r="A275" s="1322" t="s">
        <v>2295</v>
      </c>
      <c r="B275" s="1323" t="s">
        <v>2299</v>
      </c>
      <c r="C275" s="1324"/>
      <c r="D275" s="1324"/>
      <c r="E275" s="1325">
        <f t="shared" si="21"/>
        <v>0</v>
      </c>
      <c r="J275" s="118">
        <v>0</v>
      </c>
    </row>
    <row r="276" spans="1:10">
      <c r="A276" s="1311" t="s">
        <v>2297</v>
      </c>
      <c r="B276" s="1312" t="s">
        <v>2301</v>
      </c>
      <c r="C276" s="1313"/>
      <c r="D276" s="1313"/>
      <c r="E276" s="1314">
        <f t="shared" si="21"/>
        <v>0</v>
      </c>
      <c r="J276" s="118">
        <v>0</v>
      </c>
    </row>
    <row r="277" spans="1:10">
      <c r="A277" s="1311" t="s">
        <v>2298</v>
      </c>
      <c r="B277" s="1312" t="s">
        <v>2303</v>
      </c>
      <c r="C277" s="1313"/>
      <c r="D277" s="1313"/>
      <c r="E277" s="1314">
        <f t="shared" ref="E277:E285" si="26">+C277+D277</f>
        <v>0</v>
      </c>
      <c r="J277" s="118">
        <v>0</v>
      </c>
    </row>
    <row r="278" spans="1:10">
      <c r="A278" s="1311" t="s">
        <v>2300</v>
      </c>
      <c r="B278" s="1312" t="s">
        <v>2305</v>
      </c>
      <c r="C278" s="1313"/>
      <c r="D278" s="1313"/>
      <c r="E278" s="1314">
        <f t="shared" si="26"/>
        <v>0</v>
      </c>
      <c r="J278" s="118">
        <v>0</v>
      </c>
    </row>
    <row r="279" spans="1:10" s="810" customFormat="1">
      <c r="A279" s="1311" t="s">
        <v>2302</v>
      </c>
      <c r="B279" s="1312" t="s">
        <v>2307</v>
      </c>
      <c r="C279" s="1313"/>
      <c r="D279" s="1313"/>
      <c r="E279" s="1314">
        <f t="shared" si="26"/>
        <v>0</v>
      </c>
      <c r="H279" s="815"/>
      <c r="J279" s="119">
        <v>0</v>
      </c>
    </row>
    <row r="280" spans="1:10" s="810" customFormat="1">
      <c r="A280" s="1311" t="s">
        <v>2304</v>
      </c>
      <c r="B280" s="1312" t="s">
        <v>2309</v>
      </c>
      <c r="C280" s="1313"/>
      <c r="D280" s="1313"/>
      <c r="E280" s="1314">
        <f t="shared" si="26"/>
        <v>0</v>
      </c>
      <c r="H280" s="815"/>
      <c r="J280" s="119">
        <v>0</v>
      </c>
    </row>
    <row r="281" spans="1:10">
      <c r="A281" s="1311" t="s">
        <v>2306</v>
      </c>
      <c r="B281" s="1312" t="s">
        <v>2311</v>
      </c>
      <c r="C281" s="1313"/>
      <c r="D281" s="1313"/>
      <c r="E281" s="1314">
        <f t="shared" si="26"/>
        <v>0</v>
      </c>
      <c r="J281" s="118">
        <v>0</v>
      </c>
    </row>
    <row r="282" spans="1:10">
      <c r="A282" s="1311" t="s">
        <v>2308</v>
      </c>
      <c r="B282" s="1312" t="s">
        <v>2313</v>
      </c>
      <c r="C282" s="1313"/>
      <c r="D282" s="1313"/>
      <c r="E282" s="1314">
        <f t="shared" si="26"/>
        <v>0</v>
      </c>
      <c r="J282" s="118">
        <v>0</v>
      </c>
    </row>
    <row r="283" spans="1:10">
      <c r="A283" s="1311" t="s">
        <v>2310</v>
      </c>
      <c r="B283" s="1312" t="s">
        <v>2315</v>
      </c>
      <c r="C283" s="1313"/>
      <c r="D283" s="1313"/>
      <c r="E283" s="1314">
        <f t="shared" si="26"/>
        <v>0</v>
      </c>
      <c r="J283" s="118">
        <v>0</v>
      </c>
    </row>
    <row r="284" spans="1:10">
      <c r="A284" s="1311" t="s">
        <v>2312</v>
      </c>
      <c r="B284" s="1312" t="s">
        <v>2317</v>
      </c>
      <c r="C284" s="1313"/>
      <c r="D284" s="1313"/>
      <c r="E284" s="1314">
        <f t="shared" si="26"/>
        <v>0</v>
      </c>
      <c r="J284" s="118">
        <v>0</v>
      </c>
    </row>
    <row r="285" spans="1:10" ht="12.75" thickBot="1">
      <c r="A285" s="1304" t="s">
        <v>2314</v>
      </c>
      <c r="B285" s="1315" t="s">
        <v>2319</v>
      </c>
      <c r="C285" s="1316"/>
      <c r="D285" s="1316"/>
      <c r="E285" s="1317">
        <f t="shared" si="26"/>
        <v>0</v>
      </c>
      <c r="H285" s="810"/>
      <c r="J285" s="118">
        <v>0</v>
      </c>
    </row>
    <row r="286" spans="1:10" ht="12.75" thickBot="1">
      <c r="A286" s="1318" t="s">
        <v>2316</v>
      </c>
      <c r="B286" s="1319" t="s">
        <v>2724</v>
      </c>
      <c r="C286" s="1320">
        <f>+C261+C262+C263+C264+C274</f>
        <v>839</v>
      </c>
      <c r="D286" s="1320">
        <f>+D261+D262+D263+D264+D274</f>
        <v>0</v>
      </c>
      <c r="E286" s="1321">
        <f>+E261+E262+E263+E264+E274</f>
        <v>839</v>
      </c>
      <c r="J286" s="118">
        <v>838507</v>
      </c>
    </row>
    <row r="287" spans="1:10" ht="12.75" thickBot="1">
      <c r="A287" s="1318" t="s">
        <v>2318</v>
      </c>
      <c r="B287" s="1319" t="s">
        <v>2725</v>
      </c>
      <c r="C287" s="1320">
        <f>+C48+C84+C189+C225+C234+C260+C286</f>
        <v>3258557</v>
      </c>
      <c r="D287" s="1320">
        <f>+D48+D84+D189+D225+D234+D260+D286</f>
        <v>0</v>
      </c>
      <c r="E287" s="1321">
        <f>+E48+E84+E189+E225+E234+E260+E286</f>
        <v>3258557</v>
      </c>
      <c r="G287" s="118">
        <f>+'1.mell._Össz_Mérleg2019'!E70</f>
        <v>3258557</v>
      </c>
      <c r="H287" s="118">
        <f>+G287-E287</f>
        <v>0</v>
      </c>
      <c r="J287" s="118">
        <v>3258557343</v>
      </c>
    </row>
    <row r="288" spans="1:10">
      <c r="A288" s="1350"/>
      <c r="B288" s="1351"/>
      <c r="C288" s="1352"/>
      <c r="D288" s="1352"/>
      <c r="E288" s="1352"/>
    </row>
    <row r="289" spans="5:5">
      <c r="E289" s="118"/>
    </row>
    <row r="290" spans="5:5">
      <c r="E290" s="118"/>
    </row>
  </sheetData>
  <mergeCells count="1">
    <mergeCell ref="A2:E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0" fitToHeight="3" orientation="portrait" r:id="rId1"/>
  <headerFooter alignWithMargins="0">
    <oddHeader>&amp;C16. melléklet - &amp;P. oldal</oddHeader>
  </headerFooter>
  <rowBreaks count="2" manualBreakCount="2">
    <brk id="97" max="4" man="1"/>
    <brk id="189" max="4" man="1"/>
  </rowBreaks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K48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defaultRowHeight="12"/>
  <cols>
    <col min="1" max="1" width="8.140625" style="815" customWidth="1"/>
    <col min="2" max="2" width="82" style="815" customWidth="1"/>
    <col min="3" max="5" width="19.140625" style="815" customWidth="1"/>
    <col min="6" max="6" width="9.140625" style="815"/>
    <col min="7" max="8" width="9.140625" style="815" hidden="1" customWidth="1"/>
    <col min="9" max="10" width="0" style="815" hidden="1" customWidth="1"/>
    <col min="11" max="256" width="9.140625" style="815"/>
    <col min="257" max="257" width="8.140625" style="815" customWidth="1"/>
    <col min="258" max="258" width="82" style="815" customWidth="1"/>
    <col min="259" max="261" width="19.140625" style="815" customWidth="1"/>
    <col min="262" max="512" width="9.140625" style="815"/>
    <col min="513" max="513" width="8.140625" style="815" customWidth="1"/>
    <col min="514" max="514" width="82" style="815" customWidth="1"/>
    <col min="515" max="517" width="19.140625" style="815" customWidth="1"/>
    <col min="518" max="768" width="9.140625" style="815"/>
    <col min="769" max="769" width="8.140625" style="815" customWidth="1"/>
    <col min="770" max="770" width="82" style="815" customWidth="1"/>
    <col min="771" max="773" width="19.140625" style="815" customWidth="1"/>
    <col min="774" max="1024" width="9.140625" style="815"/>
    <col min="1025" max="1025" width="8.140625" style="815" customWidth="1"/>
    <col min="1026" max="1026" width="82" style="815" customWidth="1"/>
    <col min="1027" max="1029" width="19.140625" style="815" customWidth="1"/>
    <col min="1030" max="1280" width="9.140625" style="815"/>
    <col min="1281" max="1281" width="8.140625" style="815" customWidth="1"/>
    <col min="1282" max="1282" width="82" style="815" customWidth="1"/>
    <col min="1283" max="1285" width="19.140625" style="815" customWidth="1"/>
    <col min="1286" max="1536" width="9.140625" style="815"/>
    <col min="1537" max="1537" width="8.140625" style="815" customWidth="1"/>
    <col min="1538" max="1538" width="82" style="815" customWidth="1"/>
    <col min="1539" max="1541" width="19.140625" style="815" customWidth="1"/>
    <col min="1542" max="1792" width="9.140625" style="815"/>
    <col min="1793" max="1793" width="8.140625" style="815" customWidth="1"/>
    <col min="1794" max="1794" width="82" style="815" customWidth="1"/>
    <col min="1795" max="1797" width="19.140625" style="815" customWidth="1"/>
    <col min="1798" max="2048" width="9.140625" style="815"/>
    <col min="2049" max="2049" width="8.140625" style="815" customWidth="1"/>
    <col min="2050" max="2050" width="82" style="815" customWidth="1"/>
    <col min="2051" max="2053" width="19.140625" style="815" customWidth="1"/>
    <col min="2054" max="2304" width="9.140625" style="815"/>
    <col min="2305" max="2305" width="8.140625" style="815" customWidth="1"/>
    <col min="2306" max="2306" width="82" style="815" customWidth="1"/>
    <col min="2307" max="2309" width="19.140625" style="815" customWidth="1"/>
    <col min="2310" max="2560" width="9.140625" style="815"/>
    <col min="2561" max="2561" width="8.140625" style="815" customWidth="1"/>
    <col min="2562" max="2562" width="82" style="815" customWidth="1"/>
    <col min="2563" max="2565" width="19.140625" style="815" customWidth="1"/>
    <col min="2566" max="2816" width="9.140625" style="815"/>
    <col min="2817" max="2817" width="8.140625" style="815" customWidth="1"/>
    <col min="2818" max="2818" width="82" style="815" customWidth="1"/>
    <col min="2819" max="2821" width="19.140625" style="815" customWidth="1"/>
    <col min="2822" max="3072" width="9.140625" style="815"/>
    <col min="3073" max="3073" width="8.140625" style="815" customWidth="1"/>
    <col min="3074" max="3074" width="82" style="815" customWidth="1"/>
    <col min="3075" max="3077" width="19.140625" style="815" customWidth="1"/>
    <col min="3078" max="3328" width="9.140625" style="815"/>
    <col min="3329" max="3329" width="8.140625" style="815" customWidth="1"/>
    <col min="3330" max="3330" width="82" style="815" customWidth="1"/>
    <col min="3331" max="3333" width="19.140625" style="815" customWidth="1"/>
    <col min="3334" max="3584" width="9.140625" style="815"/>
    <col min="3585" max="3585" width="8.140625" style="815" customWidth="1"/>
    <col min="3586" max="3586" width="82" style="815" customWidth="1"/>
    <col min="3587" max="3589" width="19.140625" style="815" customWidth="1"/>
    <col min="3590" max="3840" width="9.140625" style="815"/>
    <col min="3841" max="3841" width="8.140625" style="815" customWidth="1"/>
    <col min="3842" max="3842" width="82" style="815" customWidth="1"/>
    <col min="3843" max="3845" width="19.140625" style="815" customWidth="1"/>
    <col min="3846" max="4096" width="9.140625" style="815"/>
    <col min="4097" max="4097" width="8.140625" style="815" customWidth="1"/>
    <col min="4098" max="4098" width="82" style="815" customWidth="1"/>
    <col min="4099" max="4101" width="19.140625" style="815" customWidth="1"/>
    <col min="4102" max="4352" width="9.140625" style="815"/>
    <col min="4353" max="4353" width="8.140625" style="815" customWidth="1"/>
    <col min="4354" max="4354" width="82" style="815" customWidth="1"/>
    <col min="4355" max="4357" width="19.140625" style="815" customWidth="1"/>
    <col min="4358" max="4608" width="9.140625" style="815"/>
    <col min="4609" max="4609" width="8.140625" style="815" customWidth="1"/>
    <col min="4610" max="4610" width="82" style="815" customWidth="1"/>
    <col min="4611" max="4613" width="19.140625" style="815" customWidth="1"/>
    <col min="4614" max="4864" width="9.140625" style="815"/>
    <col min="4865" max="4865" width="8.140625" style="815" customWidth="1"/>
    <col min="4866" max="4866" width="82" style="815" customWidth="1"/>
    <col min="4867" max="4869" width="19.140625" style="815" customWidth="1"/>
    <col min="4870" max="5120" width="9.140625" style="815"/>
    <col min="5121" max="5121" width="8.140625" style="815" customWidth="1"/>
    <col min="5122" max="5122" width="82" style="815" customWidth="1"/>
    <col min="5123" max="5125" width="19.140625" style="815" customWidth="1"/>
    <col min="5126" max="5376" width="9.140625" style="815"/>
    <col min="5377" max="5377" width="8.140625" style="815" customWidth="1"/>
    <col min="5378" max="5378" width="82" style="815" customWidth="1"/>
    <col min="5379" max="5381" width="19.140625" style="815" customWidth="1"/>
    <col min="5382" max="5632" width="9.140625" style="815"/>
    <col min="5633" max="5633" width="8.140625" style="815" customWidth="1"/>
    <col min="5634" max="5634" width="82" style="815" customWidth="1"/>
    <col min="5635" max="5637" width="19.140625" style="815" customWidth="1"/>
    <col min="5638" max="5888" width="9.140625" style="815"/>
    <col min="5889" max="5889" width="8.140625" style="815" customWidth="1"/>
    <col min="5890" max="5890" width="82" style="815" customWidth="1"/>
    <col min="5891" max="5893" width="19.140625" style="815" customWidth="1"/>
    <col min="5894" max="6144" width="9.140625" style="815"/>
    <col min="6145" max="6145" width="8.140625" style="815" customWidth="1"/>
    <col min="6146" max="6146" width="82" style="815" customWidth="1"/>
    <col min="6147" max="6149" width="19.140625" style="815" customWidth="1"/>
    <col min="6150" max="6400" width="9.140625" style="815"/>
    <col min="6401" max="6401" width="8.140625" style="815" customWidth="1"/>
    <col min="6402" max="6402" width="82" style="815" customWidth="1"/>
    <col min="6403" max="6405" width="19.140625" style="815" customWidth="1"/>
    <col min="6406" max="6656" width="9.140625" style="815"/>
    <col min="6657" max="6657" width="8.140625" style="815" customWidth="1"/>
    <col min="6658" max="6658" width="82" style="815" customWidth="1"/>
    <col min="6659" max="6661" width="19.140625" style="815" customWidth="1"/>
    <col min="6662" max="6912" width="9.140625" style="815"/>
    <col min="6913" max="6913" width="8.140625" style="815" customWidth="1"/>
    <col min="6914" max="6914" width="82" style="815" customWidth="1"/>
    <col min="6915" max="6917" width="19.140625" style="815" customWidth="1"/>
    <col min="6918" max="7168" width="9.140625" style="815"/>
    <col min="7169" max="7169" width="8.140625" style="815" customWidth="1"/>
    <col min="7170" max="7170" width="82" style="815" customWidth="1"/>
    <col min="7171" max="7173" width="19.140625" style="815" customWidth="1"/>
    <col min="7174" max="7424" width="9.140625" style="815"/>
    <col min="7425" max="7425" width="8.140625" style="815" customWidth="1"/>
    <col min="7426" max="7426" width="82" style="815" customWidth="1"/>
    <col min="7427" max="7429" width="19.140625" style="815" customWidth="1"/>
    <col min="7430" max="7680" width="9.140625" style="815"/>
    <col min="7681" max="7681" width="8.140625" style="815" customWidth="1"/>
    <col min="7682" max="7682" width="82" style="815" customWidth="1"/>
    <col min="7683" max="7685" width="19.140625" style="815" customWidth="1"/>
    <col min="7686" max="7936" width="9.140625" style="815"/>
    <col min="7937" max="7937" width="8.140625" style="815" customWidth="1"/>
    <col min="7938" max="7938" width="82" style="815" customWidth="1"/>
    <col min="7939" max="7941" width="19.140625" style="815" customWidth="1"/>
    <col min="7942" max="8192" width="9.140625" style="815"/>
    <col min="8193" max="8193" width="8.140625" style="815" customWidth="1"/>
    <col min="8194" max="8194" width="82" style="815" customWidth="1"/>
    <col min="8195" max="8197" width="19.140625" style="815" customWidth="1"/>
    <col min="8198" max="8448" width="9.140625" style="815"/>
    <col min="8449" max="8449" width="8.140625" style="815" customWidth="1"/>
    <col min="8450" max="8450" width="82" style="815" customWidth="1"/>
    <col min="8451" max="8453" width="19.140625" style="815" customWidth="1"/>
    <col min="8454" max="8704" width="9.140625" style="815"/>
    <col min="8705" max="8705" width="8.140625" style="815" customWidth="1"/>
    <col min="8706" max="8706" width="82" style="815" customWidth="1"/>
    <col min="8707" max="8709" width="19.140625" style="815" customWidth="1"/>
    <col min="8710" max="8960" width="9.140625" style="815"/>
    <col min="8961" max="8961" width="8.140625" style="815" customWidth="1"/>
    <col min="8962" max="8962" width="82" style="815" customWidth="1"/>
    <col min="8963" max="8965" width="19.140625" style="815" customWidth="1"/>
    <col min="8966" max="9216" width="9.140625" style="815"/>
    <col min="9217" max="9217" width="8.140625" style="815" customWidth="1"/>
    <col min="9218" max="9218" width="82" style="815" customWidth="1"/>
    <col min="9219" max="9221" width="19.140625" style="815" customWidth="1"/>
    <col min="9222" max="9472" width="9.140625" style="815"/>
    <col min="9473" max="9473" width="8.140625" style="815" customWidth="1"/>
    <col min="9474" max="9474" width="82" style="815" customWidth="1"/>
    <col min="9475" max="9477" width="19.140625" style="815" customWidth="1"/>
    <col min="9478" max="9728" width="9.140625" style="815"/>
    <col min="9729" max="9729" width="8.140625" style="815" customWidth="1"/>
    <col min="9730" max="9730" width="82" style="815" customWidth="1"/>
    <col min="9731" max="9733" width="19.140625" style="815" customWidth="1"/>
    <col min="9734" max="9984" width="9.140625" style="815"/>
    <col min="9985" max="9985" width="8.140625" style="815" customWidth="1"/>
    <col min="9986" max="9986" width="82" style="815" customWidth="1"/>
    <col min="9987" max="9989" width="19.140625" style="815" customWidth="1"/>
    <col min="9990" max="10240" width="9.140625" style="815"/>
    <col min="10241" max="10241" width="8.140625" style="815" customWidth="1"/>
    <col min="10242" max="10242" width="82" style="815" customWidth="1"/>
    <col min="10243" max="10245" width="19.140625" style="815" customWidth="1"/>
    <col min="10246" max="10496" width="9.140625" style="815"/>
    <col min="10497" max="10497" width="8.140625" style="815" customWidth="1"/>
    <col min="10498" max="10498" width="82" style="815" customWidth="1"/>
    <col min="10499" max="10501" width="19.140625" style="815" customWidth="1"/>
    <col min="10502" max="10752" width="9.140625" style="815"/>
    <col min="10753" max="10753" width="8.140625" style="815" customWidth="1"/>
    <col min="10754" max="10754" width="82" style="815" customWidth="1"/>
    <col min="10755" max="10757" width="19.140625" style="815" customWidth="1"/>
    <col min="10758" max="11008" width="9.140625" style="815"/>
    <col min="11009" max="11009" width="8.140625" style="815" customWidth="1"/>
    <col min="11010" max="11010" width="82" style="815" customWidth="1"/>
    <col min="11011" max="11013" width="19.140625" style="815" customWidth="1"/>
    <col min="11014" max="11264" width="9.140625" style="815"/>
    <col min="11265" max="11265" width="8.140625" style="815" customWidth="1"/>
    <col min="11266" max="11266" width="82" style="815" customWidth="1"/>
    <col min="11267" max="11269" width="19.140625" style="815" customWidth="1"/>
    <col min="11270" max="11520" width="9.140625" style="815"/>
    <col min="11521" max="11521" width="8.140625" style="815" customWidth="1"/>
    <col min="11522" max="11522" width="82" style="815" customWidth="1"/>
    <col min="11523" max="11525" width="19.140625" style="815" customWidth="1"/>
    <col min="11526" max="11776" width="9.140625" style="815"/>
    <col min="11777" max="11777" width="8.140625" style="815" customWidth="1"/>
    <col min="11778" max="11778" width="82" style="815" customWidth="1"/>
    <col min="11779" max="11781" width="19.140625" style="815" customWidth="1"/>
    <col min="11782" max="12032" width="9.140625" style="815"/>
    <col min="12033" max="12033" width="8.140625" style="815" customWidth="1"/>
    <col min="12034" max="12034" width="82" style="815" customWidth="1"/>
    <col min="12035" max="12037" width="19.140625" style="815" customWidth="1"/>
    <col min="12038" max="12288" width="9.140625" style="815"/>
    <col min="12289" max="12289" width="8.140625" style="815" customWidth="1"/>
    <col min="12290" max="12290" width="82" style="815" customWidth="1"/>
    <col min="12291" max="12293" width="19.140625" style="815" customWidth="1"/>
    <col min="12294" max="12544" width="9.140625" style="815"/>
    <col min="12545" max="12545" width="8.140625" style="815" customWidth="1"/>
    <col min="12546" max="12546" width="82" style="815" customWidth="1"/>
    <col min="12547" max="12549" width="19.140625" style="815" customWidth="1"/>
    <col min="12550" max="12800" width="9.140625" style="815"/>
    <col min="12801" max="12801" width="8.140625" style="815" customWidth="1"/>
    <col min="12802" max="12802" width="82" style="815" customWidth="1"/>
    <col min="12803" max="12805" width="19.140625" style="815" customWidth="1"/>
    <col min="12806" max="13056" width="9.140625" style="815"/>
    <col min="13057" max="13057" width="8.140625" style="815" customWidth="1"/>
    <col min="13058" max="13058" width="82" style="815" customWidth="1"/>
    <col min="13059" max="13061" width="19.140625" style="815" customWidth="1"/>
    <col min="13062" max="13312" width="9.140625" style="815"/>
    <col min="13313" max="13313" width="8.140625" style="815" customWidth="1"/>
    <col min="13314" max="13314" width="82" style="815" customWidth="1"/>
    <col min="13315" max="13317" width="19.140625" style="815" customWidth="1"/>
    <col min="13318" max="13568" width="9.140625" style="815"/>
    <col min="13569" max="13569" width="8.140625" style="815" customWidth="1"/>
    <col min="13570" max="13570" width="82" style="815" customWidth="1"/>
    <col min="13571" max="13573" width="19.140625" style="815" customWidth="1"/>
    <col min="13574" max="13824" width="9.140625" style="815"/>
    <col min="13825" max="13825" width="8.140625" style="815" customWidth="1"/>
    <col min="13826" max="13826" width="82" style="815" customWidth="1"/>
    <col min="13827" max="13829" width="19.140625" style="815" customWidth="1"/>
    <col min="13830" max="14080" width="9.140625" style="815"/>
    <col min="14081" max="14081" width="8.140625" style="815" customWidth="1"/>
    <col min="14082" max="14082" width="82" style="815" customWidth="1"/>
    <col min="14083" max="14085" width="19.140625" style="815" customWidth="1"/>
    <col min="14086" max="14336" width="9.140625" style="815"/>
    <col min="14337" max="14337" width="8.140625" style="815" customWidth="1"/>
    <col min="14338" max="14338" width="82" style="815" customWidth="1"/>
    <col min="14339" max="14341" width="19.140625" style="815" customWidth="1"/>
    <col min="14342" max="14592" width="9.140625" style="815"/>
    <col min="14593" max="14593" width="8.140625" style="815" customWidth="1"/>
    <col min="14594" max="14594" width="82" style="815" customWidth="1"/>
    <col min="14595" max="14597" width="19.140625" style="815" customWidth="1"/>
    <col min="14598" max="14848" width="9.140625" style="815"/>
    <col min="14849" max="14849" width="8.140625" style="815" customWidth="1"/>
    <col min="14850" max="14850" width="82" style="815" customWidth="1"/>
    <col min="14851" max="14853" width="19.140625" style="815" customWidth="1"/>
    <col min="14854" max="15104" width="9.140625" style="815"/>
    <col min="15105" max="15105" width="8.140625" style="815" customWidth="1"/>
    <col min="15106" max="15106" width="82" style="815" customWidth="1"/>
    <col min="15107" max="15109" width="19.140625" style="815" customWidth="1"/>
    <col min="15110" max="15360" width="9.140625" style="815"/>
    <col min="15361" max="15361" width="8.140625" style="815" customWidth="1"/>
    <col min="15362" max="15362" width="82" style="815" customWidth="1"/>
    <col min="15363" max="15365" width="19.140625" style="815" customWidth="1"/>
    <col min="15366" max="15616" width="9.140625" style="815"/>
    <col min="15617" max="15617" width="8.140625" style="815" customWidth="1"/>
    <col min="15618" max="15618" width="82" style="815" customWidth="1"/>
    <col min="15619" max="15621" width="19.140625" style="815" customWidth="1"/>
    <col min="15622" max="15872" width="9.140625" style="815"/>
    <col min="15873" max="15873" width="8.140625" style="815" customWidth="1"/>
    <col min="15874" max="15874" width="82" style="815" customWidth="1"/>
    <col min="15875" max="15877" width="19.140625" style="815" customWidth="1"/>
    <col min="15878" max="16128" width="9.140625" style="815"/>
    <col min="16129" max="16129" width="8.140625" style="815" customWidth="1"/>
    <col min="16130" max="16130" width="82" style="815" customWidth="1"/>
    <col min="16131" max="16133" width="19.140625" style="815" customWidth="1"/>
    <col min="16134" max="16384" width="9.140625" style="815"/>
  </cols>
  <sheetData>
    <row r="1" spans="1:11" ht="15.75">
      <c r="E1" s="153" t="s">
        <v>1572</v>
      </c>
    </row>
    <row r="2" spans="1:11" s="1337" customFormat="1" ht="15.75">
      <c r="A2" s="1928" t="s">
        <v>1573</v>
      </c>
      <c r="B2" s="1929"/>
      <c r="C2" s="1929"/>
      <c r="D2" s="1929"/>
      <c r="E2" s="1929"/>
      <c r="G2" s="807"/>
    </row>
    <row r="3" spans="1:11" ht="12.75" thickBot="1">
      <c r="A3" s="1338"/>
      <c r="E3" s="203" t="s">
        <v>458</v>
      </c>
    </row>
    <row r="4" spans="1:11" s="1303" customFormat="1" ht="24">
      <c r="A4" s="1300" t="s">
        <v>1589</v>
      </c>
      <c r="B4" s="1301" t="s">
        <v>7</v>
      </c>
      <c r="C4" s="1301" t="s">
        <v>1590</v>
      </c>
      <c r="D4" s="1301" t="s">
        <v>1591</v>
      </c>
      <c r="E4" s="1302" t="s">
        <v>1592</v>
      </c>
      <c r="G4" s="1353"/>
    </row>
    <row r="5" spans="1:11" ht="12.75" thickBot="1">
      <c r="A5" s="1339">
        <v>2</v>
      </c>
      <c r="B5" s="1340">
        <v>3</v>
      </c>
      <c r="C5" s="1340">
        <v>4</v>
      </c>
      <c r="D5" s="1340">
        <v>5</v>
      </c>
      <c r="E5" s="1341">
        <v>6</v>
      </c>
    </row>
    <row r="6" spans="1:11">
      <c r="A6" s="1322" t="s">
        <v>1593</v>
      </c>
      <c r="B6" s="1323" t="s">
        <v>2320</v>
      </c>
      <c r="C6" s="1324"/>
      <c r="D6" s="1324"/>
      <c r="E6" s="1325">
        <f>+C6+D6</f>
        <v>0</v>
      </c>
      <c r="J6" s="118">
        <v>0</v>
      </c>
    </row>
    <row r="7" spans="1:11">
      <c r="A7" s="1311" t="s">
        <v>1595</v>
      </c>
      <c r="B7" s="1312" t="s">
        <v>2321</v>
      </c>
      <c r="C7" s="1313"/>
      <c r="D7" s="1313"/>
      <c r="E7" s="1314">
        <f>+C7+D7</f>
        <v>0</v>
      </c>
      <c r="J7" s="118">
        <v>0</v>
      </c>
    </row>
    <row r="8" spans="1:11">
      <c r="A8" s="1311" t="s">
        <v>1597</v>
      </c>
      <c r="B8" s="1312" t="s">
        <v>2322</v>
      </c>
      <c r="C8" s="1313">
        <v>65277</v>
      </c>
      <c r="D8" s="1313"/>
      <c r="E8" s="1314">
        <f>+C8+D8</f>
        <v>65277</v>
      </c>
      <c r="J8" s="118">
        <v>65276812</v>
      </c>
    </row>
    <row r="9" spans="1:11">
      <c r="A9" s="1311" t="s">
        <v>1599</v>
      </c>
      <c r="B9" s="1312" t="s">
        <v>2323</v>
      </c>
      <c r="C9" s="1313"/>
      <c r="D9" s="1313"/>
      <c r="E9" s="1314">
        <f>+C9+D9</f>
        <v>0</v>
      </c>
      <c r="J9" s="118">
        <v>0</v>
      </c>
    </row>
    <row r="10" spans="1:11" ht="12.75" thickBot="1">
      <c r="A10" s="1304" t="s">
        <v>1601</v>
      </c>
      <c r="B10" s="1315" t="s">
        <v>2324</v>
      </c>
      <c r="C10" s="1316"/>
      <c r="D10" s="1316"/>
      <c r="E10" s="1317">
        <f>+C10+D10</f>
        <v>0</v>
      </c>
      <c r="J10" s="118">
        <v>0</v>
      </c>
    </row>
    <row r="11" spans="1:11" s="810" customFormat="1" ht="12.75" thickBot="1">
      <c r="A11" s="1318" t="s">
        <v>1603</v>
      </c>
      <c r="B11" s="1319" t="s">
        <v>2325</v>
      </c>
      <c r="C11" s="1320">
        <f>+C6+C8+C10</f>
        <v>65277</v>
      </c>
      <c r="D11" s="1320">
        <f>+D6+D8+D10</f>
        <v>0</v>
      </c>
      <c r="E11" s="1321">
        <f>+E6+E8+E10</f>
        <v>65277</v>
      </c>
      <c r="G11" s="118">
        <f>+'1.mell._Össz_Mérleg2019'!E180+'1.mell._Össz_Mérleg2019'!E195</f>
        <v>65277</v>
      </c>
      <c r="H11" s="118">
        <f>+G11-E11</f>
        <v>0</v>
      </c>
      <c r="J11" s="119">
        <v>65276812</v>
      </c>
      <c r="K11" s="815"/>
    </row>
    <row r="12" spans="1:11">
      <c r="A12" s="1330" t="s">
        <v>1605</v>
      </c>
      <c r="B12" s="1331" t="s">
        <v>2326</v>
      </c>
      <c r="C12" s="1332"/>
      <c r="D12" s="1332"/>
      <c r="E12" s="1333">
        <f t="shared" ref="E12:E23" si="0">+C12+D12</f>
        <v>0</v>
      </c>
      <c r="J12" s="118">
        <v>0</v>
      </c>
    </row>
    <row r="13" spans="1:11">
      <c r="A13" s="1311" t="s">
        <v>1607</v>
      </c>
      <c r="B13" s="1312" t="s">
        <v>2327</v>
      </c>
      <c r="C13" s="1313"/>
      <c r="D13" s="1313"/>
      <c r="E13" s="1314">
        <f t="shared" si="0"/>
        <v>0</v>
      </c>
      <c r="J13" s="118">
        <v>0</v>
      </c>
    </row>
    <row r="14" spans="1:11">
      <c r="A14" s="1322" t="s">
        <v>1609</v>
      </c>
      <c r="B14" s="1323" t="s">
        <v>2328</v>
      </c>
      <c r="C14" s="1324"/>
      <c r="D14" s="1324"/>
      <c r="E14" s="1325">
        <f t="shared" si="0"/>
        <v>0</v>
      </c>
      <c r="J14" s="118">
        <v>0</v>
      </c>
    </row>
    <row r="15" spans="1:11">
      <c r="A15" s="1311" t="s">
        <v>1611</v>
      </c>
      <c r="B15" s="1312" t="s">
        <v>2329</v>
      </c>
      <c r="C15" s="1313"/>
      <c r="D15" s="1313"/>
      <c r="E15" s="1314">
        <f t="shared" si="0"/>
        <v>0</v>
      </c>
      <c r="J15" s="118">
        <v>0</v>
      </c>
    </row>
    <row r="16" spans="1:11">
      <c r="A16" s="1311" t="s">
        <v>1613</v>
      </c>
      <c r="B16" s="1312" t="s">
        <v>2330</v>
      </c>
      <c r="C16" s="1313"/>
      <c r="D16" s="1313"/>
      <c r="E16" s="1314">
        <f t="shared" si="0"/>
        <v>0</v>
      </c>
      <c r="J16" s="118">
        <v>0</v>
      </c>
    </row>
    <row r="17" spans="1:10">
      <c r="A17" s="1311" t="s">
        <v>1615</v>
      </c>
      <c r="B17" s="1312" t="s">
        <v>2331</v>
      </c>
      <c r="C17" s="1313"/>
      <c r="D17" s="1313"/>
      <c r="E17" s="1314">
        <f t="shared" si="0"/>
        <v>0</v>
      </c>
      <c r="J17" s="118">
        <v>0</v>
      </c>
    </row>
    <row r="18" spans="1:10">
      <c r="A18" s="1311" t="s">
        <v>1617</v>
      </c>
      <c r="B18" s="1312" t="s">
        <v>2332</v>
      </c>
      <c r="C18" s="1313"/>
      <c r="D18" s="1313"/>
      <c r="E18" s="1314">
        <f t="shared" si="0"/>
        <v>0</v>
      </c>
      <c r="J18" s="118">
        <v>0</v>
      </c>
    </row>
    <row r="19" spans="1:10">
      <c r="A19" s="1311" t="s">
        <v>1619</v>
      </c>
      <c r="B19" s="1312" t="s">
        <v>2333</v>
      </c>
      <c r="C19" s="1313"/>
      <c r="D19" s="1313"/>
      <c r="E19" s="1314">
        <f t="shared" si="0"/>
        <v>0</v>
      </c>
      <c r="J19" s="118">
        <v>0</v>
      </c>
    </row>
    <row r="20" spans="1:10">
      <c r="A20" s="1311" t="s">
        <v>1621</v>
      </c>
      <c r="B20" s="1312" t="s">
        <v>2334</v>
      </c>
      <c r="C20" s="1313"/>
      <c r="D20" s="1313"/>
      <c r="E20" s="1314">
        <f t="shared" si="0"/>
        <v>0</v>
      </c>
      <c r="J20" s="118">
        <v>0</v>
      </c>
    </row>
    <row r="21" spans="1:10">
      <c r="A21" s="1311" t="s">
        <v>1623</v>
      </c>
      <c r="B21" s="1312" t="s">
        <v>2335</v>
      </c>
      <c r="C21" s="1313"/>
      <c r="D21" s="1313"/>
      <c r="E21" s="1314">
        <f t="shared" si="0"/>
        <v>0</v>
      </c>
      <c r="J21" s="118">
        <v>0</v>
      </c>
    </row>
    <row r="22" spans="1:10">
      <c r="A22" s="1311" t="s">
        <v>1625</v>
      </c>
      <c r="B22" s="1312" t="s">
        <v>2336</v>
      </c>
      <c r="C22" s="1313"/>
      <c r="D22" s="1313"/>
      <c r="E22" s="1314">
        <f t="shared" si="0"/>
        <v>0</v>
      </c>
      <c r="J22" s="118">
        <v>0</v>
      </c>
    </row>
    <row r="23" spans="1:10" ht="12.75" thickBot="1">
      <c r="A23" s="1304" t="s">
        <v>1627</v>
      </c>
      <c r="B23" s="1315" t="s">
        <v>2337</v>
      </c>
      <c r="C23" s="1316"/>
      <c r="D23" s="1316"/>
      <c r="E23" s="1317">
        <f t="shared" si="0"/>
        <v>0</v>
      </c>
      <c r="J23" s="118">
        <v>0</v>
      </c>
    </row>
    <row r="24" spans="1:10" ht="12.75" thickBot="1">
      <c r="A24" s="1318" t="s">
        <v>1629</v>
      </c>
      <c r="B24" s="1319" t="s">
        <v>2338</v>
      </c>
      <c r="C24" s="1320">
        <f>+C12+C15+C16+C17+C21+C22</f>
        <v>0</v>
      </c>
      <c r="D24" s="1320">
        <f>+D12+D15+D16+D17+D21+D22</f>
        <v>0</v>
      </c>
      <c r="E24" s="1321">
        <f>+E12+E15+E16+E17+E21+E22</f>
        <v>0</v>
      </c>
      <c r="G24" s="118">
        <f>+'1.mell._Össz_Mérleg2019'!E181+'1.mell._Össz_Mérleg2019'!E196</f>
        <v>0</v>
      </c>
      <c r="H24" s="118">
        <f t="shared" ref="H24:H30" si="1">+G24-E24</f>
        <v>0</v>
      </c>
      <c r="J24" s="118">
        <v>0</v>
      </c>
    </row>
    <row r="25" spans="1:10">
      <c r="A25" s="1322" t="s">
        <v>1631</v>
      </c>
      <c r="B25" s="1323" t="s">
        <v>172</v>
      </c>
      <c r="C25" s="1324"/>
      <c r="D25" s="1324"/>
      <c r="E25" s="1325">
        <f t="shared" ref="E25:E32" si="2">+C25+D25</f>
        <v>0</v>
      </c>
      <c r="G25" s="118">
        <f>+'1.mell._Össz_Mérleg2019'!E182+'1.mell._Össz_Mérleg2019'!E197</f>
        <v>0</v>
      </c>
      <c r="H25" s="118">
        <f t="shared" si="1"/>
        <v>0</v>
      </c>
      <c r="J25" s="118">
        <v>0</v>
      </c>
    </row>
    <row r="26" spans="1:10">
      <c r="A26" s="1311" t="s">
        <v>1633</v>
      </c>
      <c r="B26" s="1312" t="s">
        <v>173</v>
      </c>
      <c r="C26" s="1313">
        <v>26671</v>
      </c>
      <c r="D26" s="1313"/>
      <c r="E26" s="1314">
        <f t="shared" si="2"/>
        <v>26671</v>
      </c>
      <c r="G26" s="118">
        <f>+'1.mell._Össz_Mérleg2019'!E183+'1.mell._Össz_Mérleg2019'!E198</f>
        <v>26671</v>
      </c>
      <c r="H26" s="118">
        <f t="shared" si="1"/>
        <v>0</v>
      </c>
      <c r="J26" s="118">
        <v>26671090</v>
      </c>
    </row>
    <row r="27" spans="1:10">
      <c r="A27" s="1311" t="s">
        <v>1635</v>
      </c>
      <c r="B27" s="1312" t="s">
        <v>174</v>
      </c>
      <c r="C27" s="1313">
        <v>888766</v>
      </c>
      <c r="D27" s="1313">
        <v>-888766</v>
      </c>
      <c r="E27" s="1314">
        <f t="shared" si="2"/>
        <v>0</v>
      </c>
      <c r="G27" s="118">
        <f>+'1.1.mell._ÖNK_Mérleg2019'!E184+'1.1.mell._ÖNK_Mérleg2019'!E199</f>
        <v>888766</v>
      </c>
      <c r="H27" s="118">
        <f t="shared" si="1"/>
        <v>888766</v>
      </c>
      <c r="J27" s="118">
        <v>0</v>
      </c>
    </row>
    <row r="28" spans="1:10">
      <c r="A28" s="1311" t="s">
        <v>1637</v>
      </c>
      <c r="B28" s="1312" t="s">
        <v>2339</v>
      </c>
      <c r="C28" s="1313"/>
      <c r="D28" s="1313"/>
      <c r="E28" s="1314">
        <f t="shared" si="2"/>
        <v>0</v>
      </c>
      <c r="G28" s="118">
        <f>+'1.mell._Össz_Mérleg2019'!E185+'1.mell._Össz_Mérleg2019'!E200</f>
        <v>0</v>
      </c>
      <c r="H28" s="118">
        <f t="shared" si="1"/>
        <v>0</v>
      </c>
      <c r="J28" s="118">
        <v>0</v>
      </c>
    </row>
    <row r="29" spans="1:10">
      <c r="A29" s="1311" t="s">
        <v>1639</v>
      </c>
      <c r="B29" s="1312" t="s">
        <v>175</v>
      </c>
      <c r="C29" s="1313"/>
      <c r="D29" s="1313"/>
      <c r="E29" s="1314">
        <f t="shared" si="2"/>
        <v>0</v>
      </c>
      <c r="G29" s="118">
        <f>+'1.mell._Össz_Mérleg2019'!E186+'1.mell._Össz_Mérleg2019'!E201</f>
        <v>0</v>
      </c>
      <c r="H29" s="118">
        <f t="shared" si="1"/>
        <v>0</v>
      </c>
      <c r="J29" s="118">
        <v>0</v>
      </c>
    </row>
    <row r="30" spans="1:10">
      <c r="A30" s="1311" t="s">
        <v>1641</v>
      </c>
      <c r="B30" s="1312" t="s">
        <v>176</v>
      </c>
      <c r="C30" s="1313"/>
      <c r="D30" s="1313"/>
      <c r="E30" s="1314">
        <f t="shared" si="2"/>
        <v>0</v>
      </c>
      <c r="G30" s="118">
        <f>+'1.mell._Össz_Mérleg2019'!E187+'1.mell._Össz_Mérleg2019'!E202</f>
        <v>0</v>
      </c>
      <c r="H30" s="118">
        <f t="shared" si="1"/>
        <v>0</v>
      </c>
      <c r="J30" s="118">
        <v>0</v>
      </c>
    </row>
    <row r="31" spans="1:10">
      <c r="A31" s="1311" t="s">
        <v>1643</v>
      </c>
      <c r="B31" s="1312" t="s">
        <v>2340</v>
      </c>
      <c r="C31" s="1313"/>
      <c r="D31" s="1313"/>
      <c r="E31" s="1314">
        <f t="shared" si="2"/>
        <v>0</v>
      </c>
      <c r="J31" s="118">
        <v>0</v>
      </c>
    </row>
    <row r="32" spans="1:10" ht="12.75" thickBot="1">
      <c r="A32" s="1330" t="s">
        <v>1645</v>
      </c>
      <c r="B32" s="1331" t="s">
        <v>2341</v>
      </c>
      <c r="C32" s="1332"/>
      <c r="D32" s="1332"/>
      <c r="E32" s="1333">
        <f t="shared" si="2"/>
        <v>0</v>
      </c>
      <c r="J32" s="118">
        <v>0</v>
      </c>
    </row>
    <row r="33" spans="1:11" s="810" customFormat="1" ht="12.75" thickBot="1">
      <c r="A33" s="1318" t="s">
        <v>1647</v>
      </c>
      <c r="B33" s="1319" t="s">
        <v>2342</v>
      </c>
      <c r="C33" s="1320">
        <f>+C31+C32</f>
        <v>0</v>
      </c>
      <c r="D33" s="1320">
        <f>+D31+D32</f>
        <v>0</v>
      </c>
      <c r="E33" s="1321">
        <f>+E31+E32</f>
        <v>0</v>
      </c>
      <c r="G33" s="118">
        <f>+'1.mell._Össz_Mérleg2019'!E188+'1.mell._Össz_Mérleg2019'!E203</f>
        <v>0</v>
      </c>
      <c r="H33" s="118">
        <f>+G33-E33</f>
        <v>0</v>
      </c>
      <c r="J33" s="119">
        <v>0</v>
      </c>
      <c r="K33" s="815"/>
    </row>
    <row r="34" spans="1:11" ht="12.75" thickBot="1">
      <c r="A34" s="1318" t="s">
        <v>1649</v>
      </c>
      <c r="B34" s="1319" t="s">
        <v>2343</v>
      </c>
      <c r="C34" s="1320">
        <f>+C11+C24+C25+C26+C27+C28+C29+C30+C33</f>
        <v>980714</v>
      </c>
      <c r="D34" s="1320">
        <f>+D11+D24+D25+D26+D27+D28+D29+D30+D33</f>
        <v>-888766</v>
      </c>
      <c r="E34" s="1321">
        <f>+E11+E24+E25+E26+E27+E28+E29+E30+E33</f>
        <v>91948</v>
      </c>
      <c r="J34" s="118">
        <v>91947902</v>
      </c>
    </row>
    <row r="35" spans="1:11">
      <c r="A35" s="1322" t="s">
        <v>1651</v>
      </c>
      <c r="B35" s="1323" t="s">
        <v>2344</v>
      </c>
      <c r="C35" s="1324"/>
      <c r="D35" s="1324"/>
      <c r="E35" s="1325">
        <f t="shared" ref="E35:E41" si="3">+C35+D35</f>
        <v>0</v>
      </c>
      <c r="J35" s="118">
        <v>0</v>
      </c>
    </row>
    <row r="36" spans="1:11">
      <c r="A36" s="1311" t="s">
        <v>1653</v>
      </c>
      <c r="B36" s="1312" t="s">
        <v>2345</v>
      </c>
      <c r="C36" s="1313"/>
      <c r="D36" s="1313"/>
      <c r="E36" s="1314">
        <f t="shared" si="3"/>
        <v>0</v>
      </c>
      <c r="J36" s="118">
        <v>0</v>
      </c>
    </row>
    <row r="37" spans="1:11">
      <c r="A37" s="1311" t="s">
        <v>1655</v>
      </c>
      <c r="B37" s="1312" t="s">
        <v>2346</v>
      </c>
      <c r="C37" s="1313"/>
      <c r="D37" s="1313"/>
      <c r="E37" s="1314">
        <f t="shared" si="3"/>
        <v>0</v>
      </c>
      <c r="J37" s="118">
        <v>0</v>
      </c>
    </row>
    <row r="38" spans="1:11">
      <c r="A38" s="1311" t="s">
        <v>1657</v>
      </c>
      <c r="B38" s="1312" t="s">
        <v>2347</v>
      </c>
      <c r="C38" s="1313"/>
      <c r="D38" s="1313"/>
      <c r="E38" s="1314">
        <f t="shared" si="3"/>
        <v>0</v>
      </c>
      <c r="J38" s="118">
        <v>0</v>
      </c>
    </row>
    <row r="39" spans="1:11">
      <c r="A39" s="1311" t="s">
        <v>1659</v>
      </c>
      <c r="B39" s="1312" t="s">
        <v>2348</v>
      </c>
      <c r="C39" s="1313"/>
      <c r="D39" s="1313"/>
      <c r="E39" s="1314">
        <f t="shared" si="3"/>
        <v>0</v>
      </c>
      <c r="J39" s="118">
        <v>0</v>
      </c>
    </row>
    <row r="40" spans="1:11">
      <c r="A40" s="1304" t="s">
        <v>1661</v>
      </c>
      <c r="B40" s="1315" t="s">
        <v>2349</v>
      </c>
      <c r="C40" s="1316"/>
      <c r="D40" s="1316"/>
      <c r="E40" s="1317">
        <f t="shared" si="3"/>
        <v>0</v>
      </c>
      <c r="J40" s="118">
        <v>0</v>
      </c>
    </row>
    <row r="41" spans="1:11" ht="12.75" thickBot="1">
      <c r="A41" s="1304" t="s">
        <v>1663</v>
      </c>
      <c r="B41" s="1315" t="s">
        <v>2350</v>
      </c>
      <c r="C41" s="1316"/>
      <c r="D41" s="1316"/>
      <c r="E41" s="1317">
        <f t="shared" si="3"/>
        <v>0</v>
      </c>
      <c r="J41" s="118">
        <v>0</v>
      </c>
    </row>
    <row r="42" spans="1:11" ht="12.75" thickBot="1">
      <c r="A42" s="1318" t="s">
        <v>1665</v>
      </c>
      <c r="B42" s="1319" t="s">
        <v>2351</v>
      </c>
      <c r="C42" s="1320">
        <f>+C35+C36+C37+C39+C40</f>
        <v>0</v>
      </c>
      <c r="D42" s="1320">
        <f>+D35+D36+D37+D39+D40</f>
        <v>0</v>
      </c>
      <c r="E42" s="1321">
        <f>+E35+E36+E37+E39+E40</f>
        <v>0</v>
      </c>
      <c r="G42" s="118">
        <f>+'1.mell._Össz_Mérleg2019'!E189+'1.mell._Össz_Mérleg2019'!E204</f>
        <v>0</v>
      </c>
      <c r="H42" s="118">
        <f t="shared" ref="H42:H44" si="4">+G42-E42</f>
        <v>0</v>
      </c>
      <c r="J42" s="118">
        <v>0</v>
      </c>
    </row>
    <row r="43" spans="1:11" ht="12.75" thickBot="1">
      <c r="A43" s="1342" t="s">
        <v>1667</v>
      </c>
      <c r="B43" s="1343" t="s">
        <v>178</v>
      </c>
      <c r="C43" s="1344">
        <v>0</v>
      </c>
      <c r="D43" s="1344">
        <v>0</v>
      </c>
      <c r="E43" s="1345">
        <f>+C43+D43</f>
        <v>0</v>
      </c>
      <c r="G43" s="118">
        <f>+'1.mell._Össz_Mérleg2019'!E190+'1.mell._Össz_Mérleg2019'!E205</f>
        <v>0</v>
      </c>
      <c r="H43" s="118">
        <f t="shared" si="4"/>
        <v>0</v>
      </c>
      <c r="J43" s="118">
        <v>0</v>
      </c>
    </row>
    <row r="44" spans="1:11" ht="12.75" thickBot="1">
      <c r="A44" s="1318" t="s">
        <v>1669</v>
      </c>
      <c r="B44" s="1319" t="s">
        <v>942</v>
      </c>
      <c r="C44" s="1320">
        <v>0</v>
      </c>
      <c r="D44" s="1320">
        <v>0</v>
      </c>
      <c r="E44" s="1321">
        <f>+C44+D44</f>
        <v>0</v>
      </c>
      <c r="G44" s="118">
        <f>+'1.mell._Össz_Mérleg2019'!E191+'1.mell._Össz_Mérleg2019'!E206</f>
        <v>0</v>
      </c>
      <c r="H44" s="118">
        <f t="shared" si="4"/>
        <v>0</v>
      </c>
      <c r="J44" s="118">
        <v>0</v>
      </c>
    </row>
    <row r="45" spans="1:11" ht="12.75" thickBot="1">
      <c r="A45" s="1346" t="s">
        <v>1671</v>
      </c>
      <c r="B45" s="1347" t="s">
        <v>2352</v>
      </c>
      <c r="C45" s="1348">
        <f>+C34+C42+C43+C44</f>
        <v>980714</v>
      </c>
      <c r="D45" s="1348">
        <f>+D34+D42+D43+D44</f>
        <v>-888766</v>
      </c>
      <c r="E45" s="1349">
        <f>+E34+E42+E43+E44</f>
        <v>91948</v>
      </c>
      <c r="G45" s="118">
        <f>+'1.mell._Össz_Mérleg2019'!E207</f>
        <v>91948</v>
      </c>
      <c r="H45" s="118">
        <f>+G45-E45</f>
        <v>0</v>
      </c>
      <c r="J45" s="118">
        <v>91947902</v>
      </c>
    </row>
    <row r="47" spans="1:11">
      <c r="E47" s="118"/>
    </row>
    <row r="48" spans="1:11">
      <c r="E48" s="118"/>
    </row>
  </sheetData>
  <mergeCells count="1">
    <mergeCell ref="A2:E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K37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defaultRowHeight="12"/>
  <cols>
    <col min="1" max="1" width="8.140625" style="815" customWidth="1"/>
    <col min="2" max="2" width="82" style="815" customWidth="1"/>
    <col min="3" max="5" width="19.140625" style="815" customWidth="1"/>
    <col min="6" max="6" width="9.140625" style="815"/>
    <col min="7" max="8" width="9.140625" style="815" hidden="1" customWidth="1"/>
    <col min="9" max="9" width="0" style="815" hidden="1" customWidth="1"/>
    <col min="10" max="10" width="10.85546875" style="815" hidden="1" customWidth="1"/>
    <col min="11" max="256" width="9.140625" style="815"/>
    <col min="257" max="257" width="8.140625" style="815" customWidth="1"/>
    <col min="258" max="258" width="82" style="815" customWidth="1"/>
    <col min="259" max="261" width="19.140625" style="815" customWidth="1"/>
    <col min="262" max="512" width="9.140625" style="815"/>
    <col min="513" max="513" width="8.140625" style="815" customWidth="1"/>
    <col min="514" max="514" width="82" style="815" customWidth="1"/>
    <col min="515" max="517" width="19.140625" style="815" customWidth="1"/>
    <col min="518" max="768" width="9.140625" style="815"/>
    <col min="769" max="769" width="8.140625" style="815" customWidth="1"/>
    <col min="770" max="770" width="82" style="815" customWidth="1"/>
    <col min="771" max="773" width="19.140625" style="815" customWidth="1"/>
    <col min="774" max="1024" width="9.140625" style="815"/>
    <col min="1025" max="1025" width="8.140625" style="815" customWidth="1"/>
    <col min="1026" max="1026" width="82" style="815" customWidth="1"/>
    <col min="1027" max="1029" width="19.140625" style="815" customWidth="1"/>
    <col min="1030" max="1280" width="9.140625" style="815"/>
    <col min="1281" max="1281" width="8.140625" style="815" customWidth="1"/>
    <col min="1282" max="1282" width="82" style="815" customWidth="1"/>
    <col min="1283" max="1285" width="19.140625" style="815" customWidth="1"/>
    <col min="1286" max="1536" width="9.140625" style="815"/>
    <col min="1537" max="1537" width="8.140625" style="815" customWidth="1"/>
    <col min="1538" max="1538" width="82" style="815" customWidth="1"/>
    <col min="1539" max="1541" width="19.140625" style="815" customWidth="1"/>
    <col min="1542" max="1792" width="9.140625" style="815"/>
    <col min="1793" max="1793" width="8.140625" style="815" customWidth="1"/>
    <col min="1794" max="1794" width="82" style="815" customWidth="1"/>
    <col min="1795" max="1797" width="19.140625" style="815" customWidth="1"/>
    <col min="1798" max="2048" width="9.140625" style="815"/>
    <col min="2049" max="2049" width="8.140625" style="815" customWidth="1"/>
    <col min="2050" max="2050" width="82" style="815" customWidth="1"/>
    <col min="2051" max="2053" width="19.140625" style="815" customWidth="1"/>
    <col min="2054" max="2304" width="9.140625" style="815"/>
    <col min="2305" max="2305" width="8.140625" style="815" customWidth="1"/>
    <col min="2306" max="2306" width="82" style="815" customWidth="1"/>
    <col min="2307" max="2309" width="19.140625" style="815" customWidth="1"/>
    <col min="2310" max="2560" width="9.140625" style="815"/>
    <col min="2561" max="2561" width="8.140625" style="815" customWidth="1"/>
    <col min="2562" max="2562" width="82" style="815" customWidth="1"/>
    <col min="2563" max="2565" width="19.140625" style="815" customWidth="1"/>
    <col min="2566" max="2816" width="9.140625" style="815"/>
    <col min="2817" max="2817" width="8.140625" style="815" customWidth="1"/>
    <col min="2818" max="2818" width="82" style="815" customWidth="1"/>
    <col min="2819" max="2821" width="19.140625" style="815" customWidth="1"/>
    <col min="2822" max="3072" width="9.140625" style="815"/>
    <col min="3073" max="3073" width="8.140625" style="815" customWidth="1"/>
    <col min="3074" max="3074" width="82" style="815" customWidth="1"/>
    <col min="3075" max="3077" width="19.140625" style="815" customWidth="1"/>
    <col min="3078" max="3328" width="9.140625" style="815"/>
    <col min="3329" max="3329" width="8.140625" style="815" customWidth="1"/>
    <col min="3330" max="3330" width="82" style="815" customWidth="1"/>
    <col min="3331" max="3333" width="19.140625" style="815" customWidth="1"/>
    <col min="3334" max="3584" width="9.140625" style="815"/>
    <col min="3585" max="3585" width="8.140625" style="815" customWidth="1"/>
    <col min="3586" max="3586" width="82" style="815" customWidth="1"/>
    <col min="3587" max="3589" width="19.140625" style="815" customWidth="1"/>
    <col min="3590" max="3840" width="9.140625" style="815"/>
    <col min="3841" max="3841" width="8.140625" style="815" customWidth="1"/>
    <col min="3842" max="3842" width="82" style="815" customWidth="1"/>
    <col min="3843" max="3845" width="19.140625" style="815" customWidth="1"/>
    <col min="3846" max="4096" width="9.140625" style="815"/>
    <col min="4097" max="4097" width="8.140625" style="815" customWidth="1"/>
    <col min="4098" max="4098" width="82" style="815" customWidth="1"/>
    <col min="4099" max="4101" width="19.140625" style="815" customWidth="1"/>
    <col min="4102" max="4352" width="9.140625" style="815"/>
    <col min="4353" max="4353" width="8.140625" style="815" customWidth="1"/>
    <col min="4354" max="4354" width="82" style="815" customWidth="1"/>
    <col min="4355" max="4357" width="19.140625" style="815" customWidth="1"/>
    <col min="4358" max="4608" width="9.140625" style="815"/>
    <col min="4609" max="4609" width="8.140625" style="815" customWidth="1"/>
    <col min="4610" max="4610" width="82" style="815" customWidth="1"/>
    <col min="4611" max="4613" width="19.140625" style="815" customWidth="1"/>
    <col min="4614" max="4864" width="9.140625" style="815"/>
    <col min="4865" max="4865" width="8.140625" style="815" customWidth="1"/>
    <col min="4866" max="4866" width="82" style="815" customWidth="1"/>
    <col min="4867" max="4869" width="19.140625" style="815" customWidth="1"/>
    <col min="4870" max="5120" width="9.140625" style="815"/>
    <col min="5121" max="5121" width="8.140625" style="815" customWidth="1"/>
    <col min="5122" max="5122" width="82" style="815" customWidth="1"/>
    <col min="5123" max="5125" width="19.140625" style="815" customWidth="1"/>
    <col min="5126" max="5376" width="9.140625" style="815"/>
    <col min="5377" max="5377" width="8.140625" style="815" customWidth="1"/>
    <col min="5378" max="5378" width="82" style="815" customWidth="1"/>
    <col min="5379" max="5381" width="19.140625" style="815" customWidth="1"/>
    <col min="5382" max="5632" width="9.140625" style="815"/>
    <col min="5633" max="5633" width="8.140625" style="815" customWidth="1"/>
    <col min="5634" max="5634" width="82" style="815" customWidth="1"/>
    <col min="5635" max="5637" width="19.140625" style="815" customWidth="1"/>
    <col min="5638" max="5888" width="9.140625" style="815"/>
    <col min="5889" max="5889" width="8.140625" style="815" customWidth="1"/>
    <col min="5890" max="5890" width="82" style="815" customWidth="1"/>
    <col min="5891" max="5893" width="19.140625" style="815" customWidth="1"/>
    <col min="5894" max="6144" width="9.140625" style="815"/>
    <col min="6145" max="6145" width="8.140625" style="815" customWidth="1"/>
    <col min="6146" max="6146" width="82" style="815" customWidth="1"/>
    <col min="6147" max="6149" width="19.140625" style="815" customWidth="1"/>
    <col min="6150" max="6400" width="9.140625" style="815"/>
    <col min="6401" max="6401" width="8.140625" style="815" customWidth="1"/>
    <col min="6402" max="6402" width="82" style="815" customWidth="1"/>
    <col min="6403" max="6405" width="19.140625" style="815" customWidth="1"/>
    <col min="6406" max="6656" width="9.140625" style="815"/>
    <col min="6657" max="6657" width="8.140625" style="815" customWidth="1"/>
    <col min="6658" max="6658" width="82" style="815" customWidth="1"/>
    <col min="6659" max="6661" width="19.140625" style="815" customWidth="1"/>
    <col min="6662" max="6912" width="9.140625" style="815"/>
    <col min="6913" max="6913" width="8.140625" style="815" customWidth="1"/>
    <col min="6914" max="6914" width="82" style="815" customWidth="1"/>
    <col min="6915" max="6917" width="19.140625" style="815" customWidth="1"/>
    <col min="6918" max="7168" width="9.140625" style="815"/>
    <col min="7169" max="7169" width="8.140625" style="815" customWidth="1"/>
    <col min="7170" max="7170" width="82" style="815" customWidth="1"/>
    <col min="7171" max="7173" width="19.140625" style="815" customWidth="1"/>
    <col min="7174" max="7424" width="9.140625" style="815"/>
    <col min="7425" max="7425" width="8.140625" style="815" customWidth="1"/>
    <col min="7426" max="7426" width="82" style="815" customWidth="1"/>
    <col min="7427" max="7429" width="19.140625" style="815" customWidth="1"/>
    <col min="7430" max="7680" width="9.140625" style="815"/>
    <col min="7681" max="7681" width="8.140625" style="815" customWidth="1"/>
    <col min="7682" max="7682" width="82" style="815" customWidth="1"/>
    <col min="7683" max="7685" width="19.140625" style="815" customWidth="1"/>
    <col min="7686" max="7936" width="9.140625" style="815"/>
    <col min="7937" max="7937" width="8.140625" style="815" customWidth="1"/>
    <col min="7938" max="7938" width="82" style="815" customWidth="1"/>
    <col min="7939" max="7941" width="19.140625" style="815" customWidth="1"/>
    <col min="7942" max="8192" width="9.140625" style="815"/>
    <col min="8193" max="8193" width="8.140625" style="815" customWidth="1"/>
    <col min="8194" max="8194" width="82" style="815" customWidth="1"/>
    <col min="8195" max="8197" width="19.140625" style="815" customWidth="1"/>
    <col min="8198" max="8448" width="9.140625" style="815"/>
    <col min="8449" max="8449" width="8.140625" style="815" customWidth="1"/>
    <col min="8450" max="8450" width="82" style="815" customWidth="1"/>
    <col min="8451" max="8453" width="19.140625" style="815" customWidth="1"/>
    <col min="8454" max="8704" width="9.140625" style="815"/>
    <col min="8705" max="8705" width="8.140625" style="815" customWidth="1"/>
    <col min="8706" max="8706" width="82" style="815" customWidth="1"/>
    <col min="8707" max="8709" width="19.140625" style="815" customWidth="1"/>
    <col min="8710" max="8960" width="9.140625" style="815"/>
    <col min="8961" max="8961" width="8.140625" style="815" customWidth="1"/>
    <col min="8962" max="8962" width="82" style="815" customWidth="1"/>
    <col min="8963" max="8965" width="19.140625" style="815" customWidth="1"/>
    <col min="8966" max="9216" width="9.140625" style="815"/>
    <col min="9217" max="9217" width="8.140625" style="815" customWidth="1"/>
    <col min="9218" max="9218" width="82" style="815" customWidth="1"/>
    <col min="9219" max="9221" width="19.140625" style="815" customWidth="1"/>
    <col min="9222" max="9472" width="9.140625" style="815"/>
    <col min="9473" max="9473" width="8.140625" style="815" customWidth="1"/>
    <col min="9474" max="9474" width="82" style="815" customWidth="1"/>
    <col min="9475" max="9477" width="19.140625" style="815" customWidth="1"/>
    <col min="9478" max="9728" width="9.140625" style="815"/>
    <col min="9729" max="9729" width="8.140625" style="815" customWidth="1"/>
    <col min="9730" max="9730" width="82" style="815" customWidth="1"/>
    <col min="9731" max="9733" width="19.140625" style="815" customWidth="1"/>
    <col min="9734" max="9984" width="9.140625" style="815"/>
    <col min="9985" max="9985" width="8.140625" style="815" customWidth="1"/>
    <col min="9986" max="9986" width="82" style="815" customWidth="1"/>
    <col min="9987" max="9989" width="19.140625" style="815" customWidth="1"/>
    <col min="9990" max="10240" width="9.140625" style="815"/>
    <col min="10241" max="10241" width="8.140625" style="815" customWidth="1"/>
    <col min="10242" max="10242" width="82" style="815" customWidth="1"/>
    <col min="10243" max="10245" width="19.140625" style="815" customWidth="1"/>
    <col min="10246" max="10496" width="9.140625" style="815"/>
    <col min="10497" max="10497" width="8.140625" style="815" customWidth="1"/>
    <col min="10498" max="10498" width="82" style="815" customWidth="1"/>
    <col min="10499" max="10501" width="19.140625" style="815" customWidth="1"/>
    <col min="10502" max="10752" width="9.140625" style="815"/>
    <col min="10753" max="10753" width="8.140625" style="815" customWidth="1"/>
    <col min="10754" max="10754" width="82" style="815" customWidth="1"/>
    <col min="10755" max="10757" width="19.140625" style="815" customWidth="1"/>
    <col min="10758" max="11008" width="9.140625" style="815"/>
    <col min="11009" max="11009" width="8.140625" style="815" customWidth="1"/>
    <col min="11010" max="11010" width="82" style="815" customWidth="1"/>
    <col min="11011" max="11013" width="19.140625" style="815" customWidth="1"/>
    <col min="11014" max="11264" width="9.140625" style="815"/>
    <col min="11265" max="11265" width="8.140625" style="815" customWidth="1"/>
    <col min="11266" max="11266" width="82" style="815" customWidth="1"/>
    <col min="11267" max="11269" width="19.140625" style="815" customWidth="1"/>
    <col min="11270" max="11520" width="9.140625" style="815"/>
    <col min="11521" max="11521" width="8.140625" style="815" customWidth="1"/>
    <col min="11522" max="11522" width="82" style="815" customWidth="1"/>
    <col min="11523" max="11525" width="19.140625" style="815" customWidth="1"/>
    <col min="11526" max="11776" width="9.140625" style="815"/>
    <col min="11777" max="11777" width="8.140625" style="815" customWidth="1"/>
    <col min="11778" max="11778" width="82" style="815" customWidth="1"/>
    <col min="11779" max="11781" width="19.140625" style="815" customWidth="1"/>
    <col min="11782" max="12032" width="9.140625" style="815"/>
    <col min="12033" max="12033" width="8.140625" style="815" customWidth="1"/>
    <col min="12034" max="12034" width="82" style="815" customWidth="1"/>
    <col min="12035" max="12037" width="19.140625" style="815" customWidth="1"/>
    <col min="12038" max="12288" width="9.140625" style="815"/>
    <col min="12289" max="12289" width="8.140625" style="815" customWidth="1"/>
    <col min="12290" max="12290" width="82" style="815" customWidth="1"/>
    <col min="12291" max="12293" width="19.140625" style="815" customWidth="1"/>
    <col min="12294" max="12544" width="9.140625" style="815"/>
    <col min="12545" max="12545" width="8.140625" style="815" customWidth="1"/>
    <col min="12546" max="12546" width="82" style="815" customWidth="1"/>
    <col min="12547" max="12549" width="19.140625" style="815" customWidth="1"/>
    <col min="12550" max="12800" width="9.140625" style="815"/>
    <col min="12801" max="12801" width="8.140625" style="815" customWidth="1"/>
    <col min="12802" max="12802" width="82" style="815" customWidth="1"/>
    <col min="12803" max="12805" width="19.140625" style="815" customWidth="1"/>
    <col min="12806" max="13056" width="9.140625" style="815"/>
    <col min="13057" max="13057" width="8.140625" style="815" customWidth="1"/>
    <col min="13058" max="13058" width="82" style="815" customWidth="1"/>
    <col min="13059" max="13061" width="19.140625" style="815" customWidth="1"/>
    <col min="13062" max="13312" width="9.140625" style="815"/>
    <col min="13313" max="13313" width="8.140625" style="815" customWidth="1"/>
    <col min="13314" max="13314" width="82" style="815" customWidth="1"/>
    <col min="13315" max="13317" width="19.140625" style="815" customWidth="1"/>
    <col min="13318" max="13568" width="9.140625" style="815"/>
    <col min="13569" max="13569" width="8.140625" style="815" customWidth="1"/>
    <col min="13570" max="13570" width="82" style="815" customWidth="1"/>
    <col min="13571" max="13573" width="19.140625" style="815" customWidth="1"/>
    <col min="13574" max="13824" width="9.140625" style="815"/>
    <col min="13825" max="13825" width="8.140625" style="815" customWidth="1"/>
    <col min="13826" max="13826" width="82" style="815" customWidth="1"/>
    <col min="13827" max="13829" width="19.140625" style="815" customWidth="1"/>
    <col min="13830" max="14080" width="9.140625" style="815"/>
    <col min="14081" max="14081" width="8.140625" style="815" customWidth="1"/>
    <col min="14082" max="14082" width="82" style="815" customWidth="1"/>
    <col min="14083" max="14085" width="19.140625" style="815" customWidth="1"/>
    <col min="14086" max="14336" width="9.140625" style="815"/>
    <col min="14337" max="14337" width="8.140625" style="815" customWidth="1"/>
    <col min="14338" max="14338" width="82" style="815" customWidth="1"/>
    <col min="14339" max="14341" width="19.140625" style="815" customWidth="1"/>
    <col min="14342" max="14592" width="9.140625" style="815"/>
    <col min="14593" max="14593" width="8.140625" style="815" customWidth="1"/>
    <col min="14594" max="14594" width="82" style="815" customWidth="1"/>
    <col min="14595" max="14597" width="19.140625" style="815" customWidth="1"/>
    <col min="14598" max="14848" width="9.140625" style="815"/>
    <col min="14849" max="14849" width="8.140625" style="815" customWidth="1"/>
    <col min="14850" max="14850" width="82" style="815" customWidth="1"/>
    <col min="14851" max="14853" width="19.140625" style="815" customWidth="1"/>
    <col min="14854" max="15104" width="9.140625" style="815"/>
    <col min="15105" max="15105" width="8.140625" style="815" customWidth="1"/>
    <col min="15106" max="15106" width="82" style="815" customWidth="1"/>
    <col min="15107" max="15109" width="19.140625" style="815" customWidth="1"/>
    <col min="15110" max="15360" width="9.140625" style="815"/>
    <col min="15361" max="15361" width="8.140625" style="815" customWidth="1"/>
    <col min="15362" max="15362" width="82" style="815" customWidth="1"/>
    <col min="15363" max="15365" width="19.140625" style="815" customWidth="1"/>
    <col min="15366" max="15616" width="9.140625" style="815"/>
    <col min="15617" max="15617" width="8.140625" style="815" customWidth="1"/>
    <col min="15618" max="15618" width="82" style="815" customWidth="1"/>
    <col min="15619" max="15621" width="19.140625" style="815" customWidth="1"/>
    <col min="15622" max="15872" width="9.140625" style="815"/>
    <col min="15873" max="15873" width="8.140625" style="815" customWidth="1"/>
    <col min="15874" max="15874" width="82" style="815" customWidth="1"/>
    <col min="15875" max="15877" width="19.140625" style="815" customWidth="1"/>
    <col min="15878" max="16128" width="9.140625" style="815"/>
    <col min="16129" max="16129" width="8.140625" style="815" customWidth="1"/>
    <col min="16130" max="16130" width="82" style="815" customWidth="1"/>
    <col min="16131" max="16133" width="19.140625" style="815" customWidth="1"/>
    <col min="16134" max="16384" width="9.140625" style="815"/>
  </cols>
  <sheetData>
    <row r="1" spans="1:11" ht="15.75">
      <c r="E1" s="153" t="s">
        <v>1574</v>
      </c>
    </row>
    <row r="2" spans="1:11" s="1337" customFormat="1" ht="15.75">
      <c r="A2" s="1928" t="s">
        <v>1575</v>
      </c>
      <c r="B2" s="1929"/>
      <c r="C2" s="1929"/>
      <c r="D2" s="1929"/>
      <c r="E2" s="1929"/>
    </row>
    <row r="3" spans="1:11" ht="12.75" thickBot="1">
      <c r="A3" s="1338"/>
      <c r="E3" s="203" t="s">
        <v>458</v>
      </c>
    </row>
    <row r="4" spans="1:11" s="1303" customFormat="1" ht="24">
      <c r="A4" s="1300" t="s">
        <v>1589</v>
      </c>
      <c r="B4" s="1301" t="s">
        <v>7</v>
      </c>
      <c r="C4" s="1301" t="s">
        <v>1590</v>
      </c>
      <c r="D4" s="1301" t="s">
        <v>1591</v>
      </c>
      <c r="E4" s="1302" t="s">
        <v>1592</v>
      </c>
    </row>
    <row r="5" spans="1:11" ht="12.75" thickBot="1">
      <c r="A5" s="1339">
        <v>2</v>
      </c>
      <c r="B5" s="1340">
        <v>3</v>
      </c>
      <c r="C5" s="1340">
        <v>4</v>
      </c>
      <c r="D5" s="1340">
        <v>5</v>
      </c>
      <c r="E5" s="1341">
        <v>6</v>
      </c>
    </row>
    <row r="6" spans="1:11">
      <c r="A6" s="1322" t="s">
        <v>1593</v>
      </c>
      <c r="B6" s="1323" t="s">
        <v>2353</v>
      </c>
      <c r="C6" s="1324"/>
      <c r="D6" s="1324"/>
      <c r="E6" s="1325">
        <f>+C6+D6</f>
        <v>0</v>
      </c>
      <c r="J6" s="118">
        <v>0</v>
      </c>
    </row>
    <row r="7" spans="1:11">
      <c r="A7" s="1311" t="s">
        <v>1595</v>
      </c>
      <c r="B7" s="1312" t="s">
        <v>2354</v>
      </c>
      <c r="C7" s="1313">
        <v>65277</v>
      </c>
      <c r="D7" s="1313"/>
      <c r="E7" s="1314">
        <f>+C7+D7</f>
        <v>65277</v>
      </c>
      <c r="J7" s="118">
        <v>65276812</v>
      </c>
    </row>
    <row r="8" spans="1:11" ht="12.75" thickBot="1">
      <c r="A8" s="1304" t="s">
        <v>1597</v>
      </c>
      <c r="B8" s="1315" t="s">
        <v>2355</v>
      </c>
      <c r="C8" s="1316"/>
      <c r="D8" s="1316"/>
      <c r="E8" s="1317">
        <f>+C8+D8</f>
        <v>0</v>
      </c>
      <c r="J8" s="118">
        <v>0</v>
      </c>
    </row>
    <row r="9" spans="1:11" s="810" customFormat="1" ht="12.75" thickBot="1">
      <c r="A9" s="1318" t="s">
        <v>1599</v>
      </c>
      <c r="B9" s="1319" t="s">
        <v>2356</v>
      </c>
      <c r="C9" s="1320">
        <f>+C6+C7+C8</f>
        <v>65277</v>
      </c>
      <c r="D9" s="1320">
        <f>+D6+D7+D8</f>
        <v>0</v>
      </c>
      <c r="E9" s="1321">
        <f>+E6+E7+E8</f>
        <v>65277</v>
      </c>
      <c r="G9" s="118">
        <f>+'1.mell._Össz_Mérleg2019'!E89+'1.mell._Össz_Mérleg2019'!E74</f>
        <v>65277</v>
      </c>
      <c r="H9" s="118">
        <f>+G9-E9</f>
        <v>0</v>
      </c>
      <c r="J9" s="119">
        <v>65276812</v>
      </c>
      <c r="K9" s="815"/>
    </row>
    <row r="10" spans="1:11">
      <c r="A10" s="1330" t="s">
        <v>1601</v>
      </c>
      <c r="B10" s="1331" t="s">
        <v>2357</v>
      </c>
      <c r="C10" s="1332"/>
      <c r="D10" s="1332"/>
      <c r="E10" s="1333">
        <f t="shared" ref="E10:E15" si="0">+C10+D10</f>
        <v>0</v>
      </c>
      <c r="J10" s="118">
        <v>0</v>
      </c>
    </row>
    <row r="11" spans="1:11">
      <c r="A11" s="1311" t="s">
        <v>1603</v>
      </c>
      <c r="B11" s="1312" t="s">
        <v>2358</v>
      </c>
      <c r="C11" s="1313"/>
      <c r="D11" s="1313"/>
      <c r="E11" s="1314">
        <f t="shared" si="0"/>
        <v>0</v>
      </c>
      <c r="J11" s="118">
        <v>0</v>
      </c>
    </row>
    <row r="12" spans="1:11">
      <c r="A12" s="1322" t="s">
        <v>1605</v>
      </c>
      <c r="B12" s="1323" t="s">
        <v>2359</v>
      </c>
      <c r="C12" s="1324"/>
      <c r="D12" s="1324"/>
      <c r="E12" s="1325">
        <f t="shared" si="0"/>
        <v>0</v>
      </c>
      <c r="J12" s="118">
        <v>0</v>
      </c>
    </row>
    <row r="13" spans="1:11">
      <c r="A13" s="1311" t="s">
        <v>1607</v>
      </c>
      <c r="B13" s="1312" t="s">
        <v>2360</v>
      </c>
      <c r="C13" s="1313"/>
      <c r="D13" s="1313"/>
      <c r="E13" s="1314">
        <f t="shared" si="0"/>
        <v>0</v>
      </c>
      <c r="J13" s="118">
        <v>0</v>
      </c>
    </row>
    <row r="14" spans="1:11">
      <c r="A14" s="1311" t="s">
        <v>1609</v>
      </c>
      <c r="B14" s="1312" t="s">
        <v>2361</v>
      </c>
      <c r="C14" s="1313"/>
      <c r="D14" s="1313"/>
      <c r="E14" s="1314">
        <f t="shared" si="0"/>
        <v>0</v>
      </c>
      <c r="J14" s="118">
        <v>0</v>
      </c>
    </row>
    <row r="15" spans="1:11" ht="12.75" thickBot="1">
      <c r="A15" s="1304" t="s">
        <v>1611</v>
      </c>
      <c r="B15" s="1315" t="s">
        <v>2362</v>
      </c>
      <c r="C15" s="1316"/>
      <c r="D15" s="1316"/>
      <c r="E15" s="1317">
        <f t="shared" si="0"/>
        <v>0</v>
      </c>
      <c r="J15" s="118">
        <v>0</v>
      </c>
    </row>
    <row r="16" spans="1:11" s="810" customFormat="1" ht="12.75" thickBot="1">
      <c r="A16" s="1318" t="s">
        <v>1613</v>
      </c>
      <c r="B16" s="1319" t="s">
        <v>2363</v>
      </c>
      <c r="C16" s="1320">
        <f>+C10+C13+C14+C15</f>
        <v>0</v>
      </c>
      <c r="D16" s="1320">
        <f>+D10+D13+D14+D15</f>
        <v>0</v>
      </c>
      <c r="E16" s="1321">
        <f>+E10+E13+E14+E15</f>
        <v>0</v>
      </c>
      <c r="G16" s="118">
        <f>+'1.mell._Össz_Mérleg2019'!E90+'1.mell._Össz_Mérleg2019'!E75</f>
        <v>0</v>
      </c>
      <c r="H16" s="118">
        <f>+G16-E16</f>
        <v>0</v>
      </c>
      <c r="J16" s="119">
        <v>0</v>
      </c>
      <c r="K16" s="815"/>
    </row>
    <row r="17" spans="1:11">
      <c r="A17" s="1330" t="s">
        <v>1615</v>
      </c>
      <c r="B17" s="1331" t="s">
        <v>2364</v>
      </c>
      <c r="C17" s="1332">
        <v>3100881</v>
      </c>
      <c r="D17" s="1332"/>
      <c r="E17" s="1333">
        <f>+C17+D17</f>
        <v>3100881</v>
      </c>
      <c r="J17" s="118">
        <v>3100880919</v>
      </c>
    </row>
    <row r="18" spans="1:11" ht="12.75" thickBot="1">
      <c r="A18" s="1304" t="s">
        <v>1617</v>
      </c>
      <c r="B18" s="1315" t="s">
        <v>2365</v>
      </c>
      <c r="C18" s="1316"/>
      <c r="D18" s="1316"/>
      <c r="E18" s="1317">
        <f>+C18+D18</f>
        <v>0</v>
      </c>
      <c r="J18" s="118">
        <v>0</v>
      </c>
    </row>
    <row r="19" spans="1:11" ht="12.75" thickBot="1">
      <c r="A19" s="1318" t="s">
        <v>1619</v>
      </c>
      <c r="B19" s="1319" t="s">
        <v>2366</v>
      </c>
      <c r="C19" s="1320">
        <f>+C17+C18</f>
        <v>3100881</v>
      </c>
      <c r="D19" s="1320">
        <f>+D17+D18</f>
        <v>0</v>
      </c>
      <c r="E19" s="1321">
        <f>+E17+E18</f>
        <v>3100881</v>
      </c>
      <c r="G19" s="118">
        <f>+'1.mell._Össz_Mérleg2019'!E91+'1.mell._Össz_Mérleg2019'!E76</f>
        <v>3100881</v>
      </c>
      <c r="H19" s="118">
        <f t="shared" ref="H19:H20" si="1">+G19-E19</f>
        <v>0</v>
      </c>
      <c r="J19" s="118">
        <v>3100880919</v>
      </c>
    </row>
    <row r="20" spans="1:11">
      <c r="A20" s="1330" t="s">
        <v>1621</v>
      </c>
      <c r="B20" s="1331" t="s">
        <v>249</v>
      </c>
      <c r="C20" s="1332">
        <v>30446</v>
      </c>
      <c r="D20" s="1332"/>
      <c r="E20" s="1333">
        <f t="shared" ref="E20:E26" si="2">+C20+D20</f>
        <v>30446</v>
      </c>
      <c r="G20" s="118">
        <f>+'1.mell._Össz_Mérleg2019'!E92+'1.mell._Össz_Mérleg2019'!E77</f>
        <v>30446</v>
      </c>
      <c r="H20" s="118">
        <f t="shared" si="1"/>
        <v>0</v>
      </c>
      <c r="J20" s="118">
        <v>30446178</v>
      </c>
    </row>
    <row r="21" spans="1:11">
      <c r="A21" s="1311" t="s">
        <v>1623</v>
      </c>
      <c r="B21" s="1312" t="s">
        <v>250</v>
      </c>
      <c r="C21" s="1313"/>
      <c r="D21" s="1313"/>
      <c r="E21" s="1314">
        <f t="shared" si="2"/>
        <v>0</v>
      </c>
      <c r="G21" s="118">
        <f>+'1.mell._Össz_Mérleg2019'!E93+'1.mell._Össz_Mérleg2019'!E78</f>
        <v>0</v>
      </c>
      <c r="J21" s="118">
        <v>0</v>
      </c>
    </row>
    <row r="22" spans="1:11">
      <c r="A22" s="1322" t="s">
        <v>1625</v>
      </c>
      <c r="B22" s="1323" t="s">
        <v>251</v>
      </c>
      <c r="C22" s="1324">
        <v>888766</v>
      </c>
      <c r="D22" s="1324">
        <v>-888766</v>
      </c>
      <c r="E22" s="1325">
        <f t="shared" si="2"/>
        <v>0</v>
      </c>
      <c r="G22" s="118">
        <f>+'1.1.mell._ÖNK_Mérleg2019'!E184+'1.1.mell._ÖNK_Mérleg2019'!E199</f>
        <v>888766</v>
      </c>
      <c r="H22" s="118">
        <f>+G22-E22</f>
        <v>888766</v>
      </c>
      <c r="I22" s="118">
        <f>+G22-'17.mell 2019K03'!G27</f>
        <v>0</v>
      </c>
      <c r="J22" s="118">
        <v>0</v>
      </c>
    </row>
    <row r="23" spans="1:11">
      <c r="A23" s="1311" t="s">
        <v>1627</v>
      </c>
      <c r="B23" s="1312" t="s">
        <v>2367</v>
      </c>
      <c r="C23" s="1313"/>
      <c r="D23" s="1313"/>
      <c r="E23" s="1314">
        <f t="shared" si="2"/>
        <v>0</v>
      </c>
      <c r="G23" s="118">
        <f>+'1.mell._Össz_Mérleg2019'!E95+'1.mell._Össz_Mérleg2019'!E80</f>
        <v>0</v>
      </c>
      <c r="J23" s="118">
        <v>0</v>
      </c>
    </row>
    <row r="24" spans="1:11">
      <c r="A24" s="1311" t="s">
        <v>1629</v>
      </c>
      <c r="B24" s="1312" t="s">
        <v>245</v>
      </c>
      <c r="C24" s="1313"/>
      <c r="D24" s="1313"/>
      <c r="E24" s="1314">
        <f t="shared" si="2"/>
        <v>0</v>
      </c>
      <c r="G24" s="118">
        <f>+'1.mell._Össz_Mérleg2019'!E96+'1.mell._Össz_Mérleg2019'!E81</f>
        <v>0</v>
      </c>
      <c r="H24" s="118">
        <f>+G24-E24</f>
        <v>0</v>
      </c>
      <c r="J24" s="118">
        <v>0</v>
      </c>
    </row>
    <row r="25" spans="1:11">
      <c r="A25" s="1311" t="s">
        <v>1631</v>
      </c>
      <c r="B25" s="1312" t="s">
        <v>2368</v>
      </c>
      <c r="C25" s="1313"/>
      <c r="D25" s="1313"/>
      <c r="E25" s="1314">
        <f t="shared" si="2"/>
        <v>0</v>
      </c>
      <c r="J25" s="118">
        <v>0</v>
      </c>
    </row>
    <row r="26" spans="1:11" ht="12.75" thickBot="1">
      <c r="A26" s="1304" t="s">
        <v>1633</v>
      </c>
      <c r="B26" s="1315" t="s">
        <v>2369</v>
      </c>
      <c r="C26" s="1316"/>
      <c r="D26" s="1316"/>
      <c r="E26" s="1317">
        <f t="shared" si="2"/>
        <v>0</v>
      </c>
      <c r="J26" s="118">
        <v>0</v>
      </c>
    </row>
    <row r="27" spans="1:11" s="810" customFormat="1" ht="12.75" thickBot="1">
      <c r="A27" s="1318" t="s">
        <v>1635</v>
      </c>
      <c r="B27" s="1319" t="s">
        <v>2370</v>
      </c>
      <c r="C27" s="1320">
        <f>+C25+C26</f>
        <v>0</v>
      </c>
      <c r="D27" s="1320">
        <f>+D25+D26</f>
        <v>0</v>
      </c>
      <c r="E27" s="1321">
        <f>+E25+E26</f>
        <v>0</v>
      </c>
      <c r="G27" s="118">
        <f>+'1.mell._Össz_Mérleg2019'!E97+'1.mell._Össz_Mérleg2019'!E82</f>
        <v>0</v>
      </c>
      <c r="H27" s="118">
        <f>+G27-E27</f>
        <v>0</v>
      </c>
      <c r="J27" s="119">
        <v>0</v>
      </c>
      <c r="K27" s="815"/>
    </row>
    <row r="28" spans="1:11" ht="12.75" thickBot="1">
      <c r="A28" s="1318" t="s">
        <v>1637</v>
      </c>
      <c r="B28" s="1319" t="s">
        <v>2371</v>
      </c>
      <c r="C28" s="1320">
        <f>+C9+C16+C19+C20+C21+C22+C23+C24+C27</f>
        <v>4085370</v>
      </c>
      <c r="D28" s="1320">
        <f>+D9+D16+D19+D20+D21+D22+D23+D24+D27</f>
        <v>-888766</v>
      </c>
      <c r="E28" s="1321">
        <f>+E9+E16+E19+E20+E21+E22+E23+E24+E27</f>
        <v>3196604</v>
      </c>
      <c r="G28" s="118"/>
      <c r="J28" s="118">
        <v>3196603909</v>
      </c>
    </row>
    <row r="29" spans="1:11">
      <c r="A29" s="1322" t="s">
        <v>1639</v>
      </c>
      <c r="B29" s="1323" t="s">
        <v>2372</v>
      </c>
      <c r="C29" s="1324"/>
      <c r="D29" s="1324"/>
      <c r="E29" s="1325">
        <f>+C29+D29</f>
        <v>0</v>
      </c>
      <c r="J29" s="118">
        <v>0</v>
      </c>
    </row>
    <row r="30" spans="1:11">
      <c r="A30" s="1311" t="s">
        <v>1641</v>
      </c>
      <c r="B30" s="1312" t="s">
        <v>2373</v>
      </c>
      <c r="C30" s="1313"/>
      <c r="D30" s="1313"/>
      <c r="E30" s="1314">
        <f>+C30+D30</f>
        <v>0</v>
      </c>
      <c r="J30" s="118">
        <v>0</v>
      </c>
    </row>
    <row r="31" spans="1:11">
      <c r="A31" s="1311" t="s">
        <v>1643</v>
      </c>
      <c r="B31" s="1312" t="s">
        <v>2374</v>
      </c>
      <c r="C31" s="1313"/>
      <c r="D31" s="1313"/>
      <c r="E31" s="1314">
        <f>+C31+D31</f>
        <v>0</v>
      </c>
      <c r="J31" s="118">
        <v>0</v>
      </c>
    </row>
    <row r="32" spans="1:11">
      <c r="A32" s="1311" t="s">
        <v>1645</v>
      </c>
      <c r="B32" s="1312" t="s">
        <v>2375</v>
      </c>
      <c r="C32" s="1313"/>
      <c r="D32" s="1313"/>
      <c r="E32" s="1314">
        <f>+C32+D32</f>
        <v>0</v>
      </c>
      <c r="J32" s="118">
        <v>0</v>
      </c>
    </row>
    <row r="33" spans="1:11" ht="12.75" thickBot="1">
      <c r="A33" s="1304" t="s">
        <v>1647</v>
      </c>
      <c r="B33" s="1315" t="s">
        <v>2376</v>
      </c>
      <c r="C33" s="1316"/>
      <c r="D33" s="1316"/>
      <c r="E33" s="1317">
        <f>+C33+D33</f>
        <v>0</v>
      </c>
      <c r="J33" s="118">
        <v>0</v>
      </c>
    </row>
    <row r="34" spans="1:11" s="810" customFormat="1" ht="12.75" thickBot="1">
      <c r="A34" s="1318" t="s">
        <v>1649</v>
      </c>
      <c r="B34" s="1319" t="s">
        <v>2377</v>
      </c>
      <c r="C34" s="1320">
        <f>+C29+C30+C31+C32+C33</f>
        <v>0</v>
      </c>
      <c r="D34" s="1320">
        <f>+D29+D30+D31+D32+D33</f>
        <v>0</v>
      </c>
      <c r="E34" s="1321">
        <f>+E29+E30+E31+E32+E33</f>
        <v>0</v>
      </c>
      <c r="G34" s="118">
        <f>+'1.mell._Össz_Mérleg2019'!E83+'1.mell._Össz_Mérleg2019'!E98</f>
        <v>0</v>
      </c>
      <c r="H34" s="118">
        <f t="shared" ref="H34:H36" si="3">+G34-E34</f>
        <v>0</v>
      </c>
      <c r="J34" s="119">
        <v>0</v>
      </c>
      <c r="K34" s="815"/>
    </row>
    <row r="35" spans="1:11">
      <c r="A35" s="1330" t="s">
        <v>1651</v>
      </c>
      <c r="B35" s="1331" t="s">
        <v>244</v>
      </c>
      <c r="C35" s="1332"/>
      <c r="D35" s="1332"/>
      <c r="E35" s="1333">
        <f>+C35+D35</f>
        <v>0</v>
      </c>
      <c r="G35" s="118">
        <f>+'1.mell._Össz_Mérleg2019'!E84+'1.mell._Össz_Mérleg2019'!E99</f>
        <v>0</v>
      </c>
      <c r="H35" s="118">
        <f t="shared" si="3"/>
        <v>0</v>
      </c>
      <c r="J35" s="118">
        <v>0</v>
      </c>
    </row>
    <row r="36" spans="1:11" ht="12.75" thickBot="1">
      <c r="A36" s="1304" t="s">
        <v>1653</v>
      </c>
      <c r="B36" s="1315" t="s">
        <v>919</v>
      </c>
      <c r="C36" s="1316"/>
      <c r="D36" s="1316"/>
      <c r="E36" s="1317">
        <f>+C36+D36</f>
        <v>0</v>
      </c>
      <c r="G36" s="118">
        <f>+'1.mell._Össz_Mérleg2019'!E85+'1.mell._Össz_Mérleg2019'!E100</f>
        <v>0</v>
      </c>
      <c r="H36" s="118">
        <f t="shared" si="3"/>
        <v>0</v>
      </c>
      <c r="J36" s="118">
        <v>0</v>
      </c>
    </row>
    <row r="37" spans="1:11" ht="12.75" thickBot="1">
      <c r="A37" s="1318" t="s">
        <v>1655</v>
      </c>
      <c r="B37" s="1319" t="s">
        <v>2378</v>
      </c>
      <c r="C37" s="1320">
        <f>+C28+C34+C35+C36</f>
        <v>4085370</v>
      </c>
      <c r="D37" s="1320">
        <f>+D28+D34+D35+D36</f>
        <v>-888766</v>
      </c>
      <c r="E37" s="1321">
        <f>+E28+E34+E35+E36</f>
        <v>3196604</v>
      </c>
      <c r="G37" s="118">
        <f>+'1.mell._Össz_Mérleg2019'!E101</f>
        <v>3196604</v>
      </c>
      <c r="H37" s="118">
        <f>+G37-E37</f>
        <v>0</v>
      </c>
      <c r="J37" s="118">
        <v>3196603909</v>
      </c>
    </row>
  </sheetData>
  <mergeCells count="1">
    <mergeCell ref="A2:E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H36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defaultRowHeight="12"/>
  <cols>
    <col min="1" max="1" width="8.140625" style="815" customWidth="1"/>
    <col min="2" max="2" width="82" style="815" customWidth="1"/>
    <col min="3" max="5" width="19.140625" style="815" customWidth="1"/>
    <col min="6" max="6" width="9.140625" style="815"/>
    <col min="7" max="8" width="9.140625" style="815" hidden="1" customWidth="1"/>
    <col min="9" max="256" width="9.140625" style="815"/>
    <col min="257" max="257" width="8.140625" style="815" customWidth="1"/>
    <col min="258" max="258" width="82" style="815" customWidth="1"/>
    <col min="259" max="261" width="19.140625" style="815" customWidth="1"/>
    <col min="262" max="262" width="9.140625" style="815"/>
    <col min="263" max="264" width="0" style="815" hidden="1" customWidth="1"/>
    <col min="265" max="512" width="9.140625" style="815"/>
    <col min="513" max="513" width="8.140625" style="815" customWidth="1"/>
    <col min="514" max="514" width="82" style="815" customWidth="1"/>
    <col min="515" max="517" width="19.140625" style="815" customWidth="1"/>
    <col min="518" max="518" width="9.140625" style="815"/>
    <col min="519" max="520" width="0" style="815" hidden="1" customWidth="1"/>
    <col min="521" max="768" width="9.140625" style="815"/>
    <col min="769" max="769" width="8.140625" style="815" customWidth="1"/>
    <col min="770" max="770" width="82" style="815" customWidth="1"/>
    <col min="771" max="773" width="19.140625" style="815" customWidth="1"/>
    <col min="774" max="774" width="9.140625" style="815"/>
    <col min="775" max="776" width="0" style="815" hidden="1" customWidth="1"/>
    <col min="777" max="1024" width="9.140625" style="815"/>
    <col min="1025" max="1025" width="8.140625" style="815" customWidth="1"/>
    <col min="1026" max="1026" width="82" style="815" customWidth="1"/>
    <col min="1027" max="1029" width="19.140625" style="815" customWidth="1"/>
    <col min="1030" max="1030" width="9.140625" style="815"/>
    <col min="1031" max="1032" width="0" style="815" hidden="1" customWidth="1"/>
    <col min="1033" max="1280" width="9.140625" style="815"/>
    <col min="1281" max="1281" width="8.140625" style="815" customWidth="1"/>
    <col min="1282" max="1282" width="82" style="815" customWidth="1"/>
    <col min="1283" max="1285" width="19.140625" style="815" customWidth="1"/>
    <col min="1286" max="1286" width="9.140625" style="815"/>
    <col min="1287" max="1288" width="0" style="815" hidden="1" customWidth="1"/>
    <col min="1289" max="1536" width="9.140625" style="815"/>
    <col min="1537" max="1537" width="8.140625" style="815" customWidth="1"/>
    <col min="1538" max="1538" width="82" style="815" customWidth="1"/>
    <col min="1539" max="1541" width="19.140625" style="815" customWidth="1"/>
    <col min="1542" max="1542" width="9.140625" style="815"/>
    <col min="1543" max="1544" width="0" style="815" hidden="1" customWidth="1"/>
    <col min="1545" max="1792" width="9.140625" style="815"/>
    <col min="1793" max="1793" width="8.140625" style="815" customWidth="1"/>
    <col min="1794" max="1794" width="82" style="815" customWidth="1"/>
    <col min="1795" max="1797" width="19.140625" style="815" customWidth="1"/>
    <col min="1798" max="1798" width="9.140625" style="815"/>
    <col min="1799" max="1800" width="0" style="815" hidden="1" customWidth="1"/>
    <col min="1801" max="2048" width="9.140625" style="815"/>
    <col min="2049" max="2049" width="8.140625" style="815" customWidth="1"/>
    <col min="2050" max="2050" width="82" style="815" customWidth="1"/>
    <col min="2051" max="2053" width="19.140625" style="815" customWidth="1"/>
    <col min="2054" max="2054" width="9.140625" style="815"/>
    <col min="2055" max="2056" width="0" style="815" hidden="1" customWidth="1"/>
    <col min="2057" max="2304" width="9.140625" style="815"/>
    <col min="2305" max="2305" width="8.140625" style="815" customWidth="1"/>
    <col min="2306" max="2306" width="82" style="815" customWidth="1"/>
    <col min="2307" max="2309" width="19.140625" style="815" customWidth="1"/>
    <col min="2310" max="2310" width="9.140625" style="815"/>
    <col min="2311" max="2312" width="0" style="815" hidden="1" customWidth="1"/>
    <col min="2313" max="2560" width="9.140625" style="815"/>
    <col min="2561" max="2561" width="8.140625" style="815" customWidth="1"/>
    <col min="2562" max="2562" width="82" style="815" customWidth="1"/>
    <col min="2563" max="2565" width="19.140625" style="815" customWidth="1"/>
    <col min="2566" max="2566" width="9.140625" style="815"/>
    <col min="2567" max="2568" width="0" style="815" hidden="1" customWidth="1"/>
    <col min="2569" max="2816" width="9.140625" style="815"/>
    <col min="2817" max="2817" width="8.140625" style="815" customWidth="1"/>
    <col min="2818" max="2818" width="82" style="815" customWidth="1"/>
    <col min="2819" max="2821" width="19.140625" style="815" customWidth="1"/>
    <col min="2822" max="2822" width="9.140625" style="815"/>
    <col min="2823" max="2824" width="0" style="815" hidden="1" customWidth="1"/>
    <col min="2825" max="3072" width="9.140625" style="815"/>
    <col min="3073" max="3073" width="8.140625" style="815" customWidth="1"/>
    <col min="3074" max="3074" width="82" style="815" customWidth="1"/>
    <col min="3075" max="3077" width="19.140625" style="815" customWidth="1"/>
    <col min="3078" max="3078" width="9.140625" style="815"/>
    <col min="3079" max="3080" width="0" style="815" hidden="1" customWidth="1"/>
    <col min="3081" max="3328" width="9.140625" style="815"/>
    <col min="3329" max="3329" width="8.140625" style="815" customWidth="1"/>
    <col min="3330" max="3330" width="82" style="815" customWidth="1"/>
    <col min="3331" max="3333" width="19.140625" style="815" customWidth="1"/>
    <col min="3334" max="3334" width="9.140625" style="815"/>
    <col min="3335" max="3336" width="0" style="815" hidden="1" customWidth="1"/>
    <col min="3337" max="3584" width="9.140625" style="815"/>
    <col min="3585" max="3585" width="8.140625" style="815" customWidth="1"/>
    <col min="3586" max="3586" width="82" style="815" customWidth="1"/>
    <col min="3587" max="3589" width="19.140625" style="815" customWidth="1"/>
    <col min="3590" max="3590" width="9.140625" style="815"/>
    <col min="3591" max="3592" width="0" style="815" hidden="1" customWidth="1"/>
    <col min="3593" max="3840" width="9.140625" style="815"/>
    <col min="3841" max="3841" width="8.140625" style="815" customWidth="1"/>
    <col min="3842" max="3842" width="82" style="815" customWidth="1"/>
    <col min="3843" max="3845" width="19.140625" style="815" customWidth="1"/>
    <col min="3846" max="3846" width="9.140625" style="815"/>
    <col min="3847" max="3848" width="0" style="815" hidden="1" customWidth="1"/>
    <col min="3849" max="4096" width="9.140625" style="815"/>
    <col min="4097" max="4097" width="8.140625" style="815" customWidth="1"/>
    <col min="4098" max="4098" width="82" style="815" customWidth="1"/>
    <col min="4099" max="4101" width="19.140625" style="815" customWidth="1"/>
    <col min="4102" max="4102" width="9.140625" style="815"/>
    <col min="4103" max="4104" width="0" style="815" hidden="1" customWidth="1"/>
    <col min="4105" max="4352" width="9.140625" style="815"/>
    <col min="4353" max="4353" width="8.140625" style="815" customWidth="1"/>
    <col min="4354" max="4354" width="82" style="815" customWidth="1"/>
    <col min="4355" max="4357" width="19.140625" style="815" customWidth="1"/>
    <col min="4358" max="4358" width="9.140625" style="815"/>
    <col min="4359" max="4360" width="0" style="815" hidden="1" customWidth="1"/>
    <col min="4361" max="4608" width="9.140625" style="815"/>
    <col min="4609" max="4609" width="8.140625" style="815" customWidth="1"/>
    <col min="4610" max="4610" width="82" style="815" customWidth="1"/>
    <col min="4611" max="4613" width="19.140625" style="815" customWidth="1"/>
    <col min="4614" max="4614" width="9.140625" style="815"/>
    <col min="4615" max="4616" width="0" style="815" hidden="1" customWidth="1"/>
    <col min="4617" max="4864" width="9.140625" style="815"/>
    <col min="4865" max="4865" width="8.140625" style="815" customWidth="1"/>
    <col min="4866" max="4866" width="82" style="815" customWidth="1"/>
    <col min="4867" max="4869" width="19.140625" style="815" customWidth="1"/>
    <col min="4870" max="4870" width="9.140625" style="815"/>
    <col min="4871" max="4872" width="0" style="815" hidden="1" customWidth="1"/>
    <col min="4873" max="5120" width="9.140625" style="815"/>
    <col min="5121" max="5121" width="8.140625" style="815" customWidth="1"/>
    <col min="5122" max="5122" width="82" style="815" customWidth="1"/>
    <col min="5123" max="5125" width="19.140625" style="815" customWidth="1"/>
    <col min="5126" max="5126" width="9.140625" style="815"/>
    <col min="5127" max="5128" width="0" style="815" hidden="1" customWidth="1"/>
    <col min="5129" max="5376" width="9.140625" style="815"/>
    <col min="5377" max="5377" width="8.140625" style="815" customWidth="1"/>
    <col min="5378" max="5378" width="82" style="815" customWidth="1"/>
    <col min="5379" max="5381" width="19.140625" style="815" customWidth="1"/>
    <col min="5382" max="5382" width="9.140625" style="815"/>
    <col min="5383" max="5384" width="0" style="815" hidden="1" customWidth="1"/>
    <col min="5385" max="5632" width="9.140625" style="815"/>
    <col min="5633" max="5633" width="8.140625" style="815" customWidth="1"/>
    <col min="5634" max="5634" width="82" style="815" customWidth="1"/>
    <col min="5635" max="5637" width="19.140625" style="815" customWidth="1"/>
    <col min="5638" max="5638" width="9.140625" style="815"/>
    <col min="5639" max="5640" width="0" style="815" hidden="1" customWidth="1"/>
    <col min="5641" max="5888" width="9.140625" style="815"/>
    <col min="5889" max="5889" width="8.140625" style="815" customWidth="1"/>
    <col min="5890" max="5890" width="82" style="815" customWidth="1"/>
    <col min="5891" max="5893" width="19.140625" style="815" customWidth="1"/>
    <col min="5894" max="5894" width="9.140625" style="815"/>
    <col min="5895" max="5896" width="0" style="815" hidden="1" customWidth="1"/>
    <col min="5897" max="6144" width="9.140625" style="815"/>
    <col min="6145" max="6145" width="8.140625" style="815" customWidth="1"/>
    <col min="6146" max="6146" width="82" style="815" customWidth="1"/>
    <col min="6147" max="6149" width="19.140625" style="815" customWidth="1"/>
    <col min="6150" max="6150" width="9.140625" style="815"/>
    <col min="6151" max="6152" width="0" style="815" hidden="1" customWidth="1"/>
    <col min="6153" max="6400" width="9.140625" style="815"/>
    <col min="6401" max="6401" width="8.140625" style="815" customWidth="1"/>
    <col min="6402" max="6402" width="82" style="815" customWidth="1"/>
    <col min="6403" max="6405" width="19.140625" style="815" customWidth="1"/>
    <col min="6406" max="6406" width="9.140625" style="815"/>
    <col min="6407" max="6408" width="0" style="815" hidden="1" customWidth="1"/>
    <col min="6409" max="6656" width="9.140625" style="815"/>
    <col min="6657" max="6657" width="8.140625" style="815" customWidth="1"/>
    <col min="6658" max="6658" width="82" style="815" customWidth="1"/>
    <col min="6659" max="6661" width="19.140625" style="815" customWidth="1"/>
    <col min="6662" max="6662" width="9.140625" style="815"/>
    <col min="6663" max="6664" width="0" style="815" hidden="1" customWidth="1"/>
    <col min="6665" max="6912" width="9.140625" style="815"/>
    <col min="6913" max="6913" width="8.140625" style="815" customWidth="1"/>
    <col min="6914" max="6914" width="82" style="815" customWidth="1"/>
    <col min="6915" max="6917" width="19.140625" style="815" customWidth="1"/>
    <col min="6918" max="6918" width="9.140625" style="815"/>
    <col min="6919" max="6920" width="0" style="815" hidden="1" customWidth="1"/>
    <col min="6921" max="7168" width="9.140625" style="815"/>
    <col min="7169" max="7169" width="8.140625" style="815" customWidth="1"/>
    <col min="7170" max="7170" width="82" style="815" customWidth="1"/>
    <col min="7171" max="7173" width="19.140625" style="815" customWidth="1"/>
    <col min="7174" max="7174" width="9.140625" style="815"/>
    <col min="7175" max="7176" width="0" style="815" hidden="1" customWidth="1"/>
    <col min="7177" max="7424" width="9.140625" style="815"/>
    <col min="7425" max="7425" width="8.140625" style="815" customWidth="1"/>
    <col min="7426" max="7426" width="82" style="815" customWidth="1"/>
    <col min="7427" max="7429" width="19.140625" style="815" customWidth="1"/>
    <col min="7430" max="7430" width="9.140625" style="815"/>
    <col min="7431" max="7432" width="0" style="815" hidden="1" customWidth="1"/>
    <col min="7433" max="7680" width="9.140625" style="815"/>
    <col min="7681" max="7681" width="8.140625" style="815" customWidth="1"/>
    <col min="7682" max="7682" width="82" style="815" customWidth="1"/>
    <col min="7683" max="7685" width="19.140625" style="815" customWidth="1"/>
    <col min="7686" max="7686" width="9.140625" style="815"/>
    <col min="7687" max="7688" width="0" style="815" hidden="1" customWidth="1"/>
    <col min="7689" max="7936" width="9.140625" style="815"/>
    <col min="7937" max="7937" width="8.140625" style="815" customWidth="1"/>
    <col min="7938" max="7938" width="82" style="815" customWidth="1"/>
    <col min="7939" max="7941" width="19.140625" style="815" customWidth="1"/>
    <col min="7942" max="7942" width="9.140625" style="815"/>
    <col min="7943" max="7944" width="0" style="815" hidden="1" customWidth="1"/>
    <col min="7945" max="8192" width="9.140625" style="815"/>
    <col min="8193" max="8193" width="8.140625" style="815" customWidth="1"/>
    <col min="8194" max="8194" width="82" style="815" customWidth="1"/>
    <col min="8195" max="8197" width="19.140625" style="815" customWidth="1"/>
    <col min="8198" max="8198" width="9.140625" style="815"/>
    <col min="8199" max="8200" width="0" style="815" hidden="1" customWidth="1"/>
    <col min="8201" max="8448" width="9.140625" style="815"/>
    <col min="8449" max="8449" width="8.140625" style="815" customWidth="1"/>
    <col min="8450" max="8450" width="82" style="815" customWidth="1"/>
    <col min="8451" max="8453" width="19.140625" style="815" customWidth="1"/>
    <col min="8454" max="8454" width="9.140625" style="815"/>
    <col min="8455" max="8456" width="0" style="815" hidden="1" customWidth="1"/>
    <col min="8457" max="8704" width="9.140625" style="815"/>
    <col min="8705" max="8705" width="8.140625" style="815" customWidth="1"/>
    <col min="8706" max="8706" width="82" style="815" customWidth="1"/>
    <col min="8707" max="8709" width="19.140625" style="815" customWidth="1"/>
    <col min="8710" max="8710" width="9.140625" style="815"/>
    <col min="8711" max="8712" width="0" style="815" hidden="1" customWidth="1"/>
    <col min="8713" max="8960" width="9.140625" style="815"/>
    <col min="8961" max="8961" width="8.140625" style="815" customWidth="1"/>
    <col min="8962" max="8962" width="82" style="815" customWidth="1"/>
    <col min="8963" max="8965" width="19.140625" style="815" customWidth="1"/>
    <col min="8966" max="8966" width="9.140625" style="815"/>
    <col min="8967" max="8968" width="0" style="815" hidden="1" customWidth="1"/>
    <col min="8969" max="9216" width="9.140625" style="815"/>
    <col min="9217" max="9217" width="8.140625" style="815" customWidth="1"/>
    <col min="9218" max="9218" width="82" style="815" customWidth="1"/>
    <col min="9219" max="9221" width="19.140625" style="815" customWidth="1"/>
    <col min="9222" max="9222" width="9.140625" style="815"/>
    <col min="9223" max="9224" width="0" style="815" hidden="1" customWidth="1"/>
    <col min="9225" max="9472" width="9.140625" style="815"/>
    <col min="9473" max="9473" width="8.140625" style="815" customWidth="1"/>
    <col min="9474" max="9474" width="82" style="815" customWidth="1"/>
    <col min="9475" max="9477" width="19.140625" style="815" customWidth="1"/>
    <col min="9478" max="9478" width="9.140625" style="815"/>
    <col min="9479" max="9480" width="0" style="815" hidden="1" customWidth="1"/>
    <col min="9481" max="9728" width="9.140625" style="815"/>
    <col min="9729" max="9729" width="8.140625" style="815" customWidth="1"/>
    <col min="9730" max="9730" width="82" style="815" customWidth="1"/>
    <col min="9731" max="9733" width="19.140625" style="815" customWidth="1"/>
    <col min="9734" max="9734" width="9.140625" style="815"/>
    <col min="9735" max="9736" width="0" style="815" hidden="1" customWidth="1"/>
    <col min="9737" max="9984" width="9.140625" style="815"/>
    <col min="9985" max="9985" width="8.140625" style="815" customWidth="1"/>
    <col min="9986" max="9986" width="82" style="815" customWidth="1"/>
    <col min="9987" max="9989" width="19.140625" style="815" customWidth="1"/>
    <col min="9990" max="9990" width="9.140625" style="815"/>
    <col min="9991" max="9992" width="0" style="815" hidden="1" customWidth="1"/>
    <col min="9993" max="10240" width="9.140625" style="815"/>
    <col min="10241" max="10241" width="8.140625" style="815" customWidth="1"/>
    <col min="10242" max="10242" width="82" style="815" customWidth="1"/>
    <col min="10243" max="10245" width="19.140625" style="815" customWidth="1"/>
    <col min="10246" max="10246" width="9.140625" style="815"/>
    <col min="10247" max="10248" width="0" style="815" hidden="1" customWidth="1"/>
    <col min="10249" max="10496" width="9.140625" style="815"/>
    <col min="10497" max="10497" width="8.140625" style="815" customWidth="1"/>
    <col min="10498" max="10498" width="82" style="815" customWidth="1"/>
    <col min="10499" max="10501" width="19.140625" style="815" customWidth="1"/>
    <col min="10502" max="10502" width="9.140625" style="815"/>
    <col min="10503" max="10504" width="0" style="815" hidden="1" customWidth="1"/>
    <col min="10505" max="10752" width="9.140625" style="815"/>
    <col min="10753" max="10753" width="8.140625" style="815" customWidth="1"/>
    <col min="10754" max="10754" width="82" style="815" customWidth="1"/>
    <col min="10755" max="10757" width="19.140625" style="815" customWidth="1"/>
    <col min="10758" max="10758" width="9.140625" style="815"/>
    <col min="10759" max="10760" width="0" style="815" hidden="1" customWidth="1"/>
    <col min="10761" max="11008" width="9.140625" style="815"/>
    <col min="11009" max="11009" width="8.140625" style="815" customWidth="1"/>
    <col min="11010" max="11010" width="82" style="815" customWidth="1"/>
    <col min="11011" max="11013" width="19.140625" style="815" customWidth="1"/>
    <col min="11014" max="11014" width="9.140625" style="815"/>
    <col min="11015" max="11016" width="0" style="815" hidden="1" customWidth="1"/>
    <col min="11017" max="11264" width="9.140625" style="815"/>
    <col min="11265" max="11265" width="8.140625" style="815" customWidth="1"/>
    <col min="11266" max="11266" width="82" style="815" customWidth="1"/>
    <col min="11267" max="11269" width="19.140625" style="815" customWidth="1"/>
    <col min="11270" max="11270" width="9.140625" style="815"/>
    <col min="11271" max="11272" width="0" style="815" hidden="1" customWidth="1"/>
    <col min="11273" max="11520" width="9.140625" style="815"/>
    <col min="11521" max="11521" width="8.140625" style="815" customWidth="1"/>
    <col min="11522" max="11522" width="82" style="815" customWidth="1"/>
    <col min="11523" max="11525" width="19.140625" style="815" customWidth="1"/>
    <col min="11526" max="11526" width="9.140625" style="815"/>
    <col min="11527" max="11528" width="0" style="815" hidden="1" customWidth="1"/>
    <col min="11529" max="11776" width="9.140625" style="815"/>
    <col min="11777" max="11777" width="8.140625" style="815" customWidth="1"/>
    <col min="11778" max="11778" width="82" style="815" customWidth="1"/>
    <col min="11779" max="11781" width="19.140625" style="815" customWidth="1"/>
    <col min="11782" max="11782" width="9.140625" style="815"/>
    <col min="11783" max="11784" width="0" style="815" hidden="1" customWidth="1"/>
    <col min="11785" max="12032" width="9.140625" style="815"/>
    <col min="12033" max="12033" width="8.140625" style="815" customWidth="1"/>
    <col min="12034" max="12034" width="82" style="815" customWidth="1"/>
    <col min="12035" max="12037" width="19.140625" style="815" customWidth="1"/>
    <col min="12038" max="12038" width="9.140625" style="815"/>
    <col min="12039" max="12040" width="0" style="815" hidden="1" customWidth="1"/>
    <col min="12041" max="12288" width="9.140625" style="815"/>
    <col min="12289" max="12289" width="8.140625" style="815" customWidth="1"/>
    <col min="12290" max="12290" width="82" style="815" customWidth="1"/>
    <col min="12291" max="12293" width="19.140625" style="815" customWidth="1"/>
    <col min="12294" max="12294" width="9.140625" style="815"/>
    <col min="12295" max="12296" width="0" style="815" hidden="1" customWidth="1"/>
    <col min="12297" max="12544" width="9.140625" style="815"/>
    <col min="12545" max="12545" width="8.140625" style="815" customWidth="1"/>
    <col min="12546" max="12546" width="82" style="815" customWidth="1"/>
    <col min="12547" max="12549" width="19.140625" style="815" customWidth="1"/>
    <col min="12550" max="12550" width="9.140625" style="815"/>
    <col min="12551" max="12552" width="0" style="815" hidden="1" customWidth="1"/>
    <col min="12553" max="12800" width="9.140625" style="815"/>
    <col min="12801" max="12801" width="8.140625" style="815" customWidth="1"/>
    <col min="12802" max="12802" width="82" style="815" customWidth="1"/>
    <col min="12803" max="12805" width="19.140625" style="815" customWidth="1"/>
    <col min="12806" max="12806" width="9.140625" style="815"/>
    <col min="12807" max="12808" width="0" style="815" hidden="1" customWidth="1"/>
    <col min="12809" max="13056" width="9.140625" style="815"/>
    <col min="13057" max="13057" width="8.140625" style="815" customWidth="1"/>
    <col min="13058" max="13058" width="82" style="815" customWidth="1"/>
    <col min="13059" max="13061" width="19.140625" style="815" customWidth="1"/>
    <col min="13062" max="13062" width="9.140625" style="815"/>
    <col min="13063" max="13064" width="0" style="815" hidden="1" customWidth="1"/>
    <col min="13065" max="13312" width="9.140625" style="815"/>
    <col min="13313" max="13313" width="8.140625" style="815" customWidth="1"/>
    <col min="13314" max="13314" width="82" style="815" customWidth="1"/>
    <col min="13315" max="13317" width="19.140625" style="815" customWidth="1"/>
    <col min="13318" max="13318" width="9.140625" style="815"/>
    <col min="13319" max="13320" width="0" style="815" hidden="1" customWidth="1"/>
    <col min="13321" max="13568" width="9.140625" style="815"/>
    <col min="13569" max="13569" width="8.140625" style="815" customWidth="1"/>
    <col min="13570" max="13570" width="82" style="815" customWidth="1"/>
    <col min="13571" max="13573" width="19.140625" style="815" customWidth="1"/>
    <col min="13574" max="13574" width="9.140625" style="815"/>
    <col min="13575" max="13576" width="0" style="815" hidden="1" customWidth="1"/>
    <col min="13577" max="13824" width="9.140625" style="815"/>
    <col min="13825" max="13825" width="8.140625" style="815" customWidth="1"/>
    <col min="13826" max="13826" width="82" style="815" customWidth="1"/>
    <col min="13827" max="13829" width="19.140625" style="815" customWidth="1"/>
    <col min="13830" max="13830" width="9.140625" style="815"/>
    <col min="13831" max="13832" width="0" style="815" hidden="1" customWidth="1"/>
    <col min="13833" max="14080" width="9.140625" style="815"/>
    <col min="14081" max="14081" width="8.140625" style="815" customWidth="1"/>
    <col min="14082" max="14082" width="82" style="815" customWidth="1"/>
    <col min="14083" max="14085" width="19.140625" style="815" customWidth="1"/>
    <col min="14086" max="14086" width="9.140625" style="815"/>
    <col min="14087" max="14088" width="0" style="815" hidden="1" customWidth="1"/>
    <col min="14089" max="14336" width="9.140625" style="815"/>
    <col min="14337" max="14337" width="8.140625" style="815" customWidth="1"/>
    <col min="14338" max="14338" width="82" style="815" customWidth="1"/>
    <col min="14339" max="14341" width="19.140625" style="815" customWidth="1"/>
    <col min="14342" max="14342" width="9.140625" style="815"/>
    <col min="14343" max="14344" width="0" style="815" hidden="1" customWidth="1"/>
    <col min="14345" max="14592" width="9.140625" style="815"/>
    <col min="14593" max="14593" width="8.140625" style="815" customWidth="1"/>
    <col min="14594" max="14594" width="82" style="815" customWidth="1"/>
    <col min="14595" max="14597" width="19.140625" style="815" customWidth="1"/>
    <col min="14598" max="14598" width="9.140625" style="815"/>
    <col min="14599" max="14600" width="0" style="815" hidden="1" customWidth="1"/>
    <col min="14601" max="14848" width="9.140625" style="815"/>
    <col min="14849" max="14849" width="8.140625" style="815" customWidth="1"/>
    <col min="14850" max="14850" width="82" style="815" customWidth="1"/>
    <col min="14851" max="14853" width="19.140625" style="815" customWidth="1"/>
    <col min="14854" max="14854" width="9.140625" style="815"/>
    <col min="14855" max="14856" width="0" style="815" hidden="1" customWidth="1"/>
    <col min="14857" max="15104" width="9.140625" style="815"/>
    <col min="15105" max="15105" width="8.140625" style="815" customWidth="1"/>
    <col min="15106" max="15106" width="82" style="815" customWidth="1"/>
    <col min="15107" max="15109" width="19.140625" style="815" customWidth="1"/>
    <col min="15110" max="15110" width="9.140625" style="815"/>
    <col min="15111" max="15112" width="0" style="815" hidden="1" customWidth="1"/>
    <col min="15113" max="15360" width="9.140625" style="815"/>
    <col min="15361" max="15361" width="8.140625" style="815" customWidth="1"/>
    <col min="15362" max="15362" width="82" style="815" customWidth="1"/>
    <col min="15363" max="15365" width="19.140625" style="815" customWidth="1"/>
    <col min="15366" max="15366" width="9.140625" style="815"/>
    <col min="15367" max="15368" width="0" style="815" hidden="1" customWidth="1"/>
    <col min="15369" max="15616" width="9.140625" style="815"/>
    <col min="15617" max="15617" width="8.140625" style="815" customWidth="1"/>
    <col min="15618" max="15618" width="82" style="815" customWidth="1"/>
    <col min="15619" max="15621" width="19.140625" style="815" customWidth="1"/>
    <col min="15622" max="15622" width="9.140625" style="815"/>
    <col min="15623" max="15624" width="0" style="815" hidden="1" customWidth="1"/>
    <col min="15625" max="15872" width="9.140625" style="815"/>
    <col min="15873" max="15873" width="8.140625" style="815" customWidth="1"/>
    <col min="15874" max="15874" width="82" style="815" customWidth="1"/>
    <col min="15875" max="15877" width="19.140625" style="815" customWidth="1"/>
    <col min="15878" max="15878" width="9.140625" style="815"/>
    <col min="15879" max="15880" width="0" style="815" hidden="1" customWidth="1"/>
    <col min="15881" max="16128" width="9.140625" style="815"/>
    <col min="16129" max="16129" width="8.140625" style="815" customWidth="1"/>
    <col min="16130" max="16130" width="82" style="815" customWidth="1"/>
    <col min="16131" max="16133" width="19.140625" style="815" customWidth="1"/>
    <col min="16134" max="16134" width="9.140625" style="815"/>
    <col min="16135" max="16136" width="0" style="815" hidden="1" customWidth="1"/>
    <col min="16137" max="16384" width="9.140625" style="815"/>
  </cols>
  <sheetData>
    <row r="1" spans="1:5" ht="15.75">
      <c r="E1" s="153" t="s">
        <v>1576</v>
      </c>
    </row>
    <row r="2" spans="1:5" ht="15.75">
      <c r="A2" s="1928" t="s">
        <v>1577</v>
      </c>
      <c r="B2" s="1929"/>
      <c r="C2" s="1929"/>
      <c r="D2" s="1929"/>
      <c r="E2" s="1929"/>
    </row>
    <row r="3" spans="1:5" ht="12.75" thickBot="1">
      <c r="A3" s="1338"/>
      <c r="E3" s="203" t="s">
        <v>458</v>
      </c>
    </row>
    <row r="4" spans="1:5" s="1303" customFormat="1" ht="24">
      <c r="A4" s="1300" t="s">
        <v>1589</v>
      </c>
      <c r="B4" s="1301" t="s">
        <v>7</v>
      </c>
      <c r="C4" s="1301" t="s">
        <v>1590</v>
      </c>
      <c r="D4" s="1301" t="s">
        <v>1591</v>
      </c>
      <c r="E4" s="1302" t="s">
        <v>1592</v>
      </c>
    </row>
    <row r="5" spans="1:5" ht="12.75" thickBot="1">
      <c r="A5" s="1339">
        <v>1</v>
      </c>
      <c r="B5" s="1340">
        <v>2</v>
      </c>
      <c r="C5" s="1340">
        <v>3</v>
      </c>
      <c r="D5" s="1340">
        <v>4</v>
      </c>
      <c r="E5" s="1341">
        <v>5</v>
      </c>
    </row>
    <row r="6" spans="1:5">
      <c r="A6" s="1322" t="s">
        <v>1593</v>
      </c>
      <c r="B6" s="1323" t="s">
        <v>2379</v>
      </c>
      <c r="C6" s="1324">
        <v>308</v>
      </c>
      <c r="D6" s="1324"/>
      <c r="E6" s="1325">
        <f>+C6+D6</f>
        <v>308</v>
      </c>
    </row>
    <row r="7" spans="1:5">
      <c r="A7" s="1311" t="s">
        <v>1595</v>
      </c>
      <c r="B7" s="1312" t="s">
        <v>2380</v>
      </c>
      <c r="C7" s="1313">
        <v>7534110</v>
      </c>
      <c r="D7" s="1313"/>
      <c r="E7" s="1314">
        <f>+C7+D7</f>
        <v>7534110</v>
      </c>
    </row>
    <row r="8" spans="1:5">
      <c r="A8" s="1311" t="s">
        <v>1597</v>
      </c>
      <c r="B8" s="1312" t="s">
        <v>2381</v>
      </c>
      <c r="C8" s="1313">
        <v>66434</v>
      </c>
      <c r="D8" s="1313"/>
      <c r="E8" s="1314">
        <f>+C8+D8</f>
        <v>66434</v>
      </c>
    </row>
    <row r="9" spans="1:5" ht="12.75" thickBot="1">
      <c r="A9" s="1304" t="s">
        <v>1599</v>
      </c>
      <c r="B9" s="1315" t="s">
        <v>2382</v>
      </c>
      <c r="C9" s="1316">
        <v>990220</v>
      </c>
      <c r="D9" s="1316"/>
      <c r="E9" s="1317">
        <f>+C9+D9</f>
        <v>990220</v>
      </c>
    </row>
    <row r="10" spans="1:5" ht="12.75" thickBot="1">
      <c r="A10" s="1318" t="s">
        <v>1601</v>
      </c>
      <c r="B10" s="1319" t="s">
        <v>2383</v>
      </c>
      <c r="C10" s="1320">
        <f>SUM(C6:C9)</f>
        <v>8591072</v>
      </c>
      <c r="D10" s="1320">
        <f>SUM(D6:D9)</f>
        <v>0</v>
      </c>
      <c r="E10" s="1321">
        <f>SUM(E6:E9)</f>
        <v>8591072</v>
      </c>
    </row>
    <row r="11" spans="1:5">
      <c r="A11" s="1322" t="s">
        <v>1603</v>
      </c>
      <c r="B11" s="1323" t="s">
        <v>2384</v>
      </c>
      <c r="C11" s="1324">
        <v>2924</v>
      </c>
      <c r="D11" s="1324"/>
      <c r="E11" s="1325">
        <f>+C11+D11</f>
        <v>2924</v>
      </c>
    </row>
    <row r="12" spans="1:5" ht="12.75" thickBot="1">
      <c r="A12" s="1304" t="s">
        <v>1605</v>
      </c>
      <c r="B12" s="1315" t="s">
        <v>2385</v>
      </c>
      <c r="C12" s="1316"/>
      <c r="D12" s="1316"/>
      <c r="E12" s="1317">
        <f>+C12+D12</f>
        <v>0</v>
      </c>
    </row>
    <row r="13" spans="1:5" ht="12.75" thickBot="1">
      <c r="A13" s="1318" t="s">
        <v>1607</v>
      </c>
      <c r="B13" s="1319" t="s">
        <v>2386</v>
      </c>
      <c r="C13" s="1320">
        <f>SUM(C11:C12)</f>
        <v>2924</v>
      </c>
      <c r="D13" s="1320">
        <f>SUM(D11:D12)</f>
        <v>0</v>
      </c>
      <c r="E13" s="1321">
        <f>SUM(E11:E12)</f>
        <v>2924</v>
      </c>
    </row>
    <row r="14" spans="1:5">
      <c r="A14" s="1322" t="s">
        <v>1609</v>
      </c>
      <c r="B14" s="1323" t="s">
        <v>2387</v>
      </c>
      <c r="C14" s="1324"/>
      <c r="D14" s="1324"/>
      <c r="E14" s="1325">
        <f>+C14+D14</f>
        <v>0</v>
      </c>
    </row>
    <row r="15" spans="1:5">
      <c r="A15" s="1311" t="s">
        <v>1611</v>
      </c>
      <c r="B15" s="1312" t="s">
        <v>2388</v>
      </c>
      <c r="C15" s="1313">
        <v>1232</v>
      </c>
      <c r="D15" s="1313"/>
      <c r="E15" s="1314">
        <f>+C15+D15</f>
        <v>1232</v>
      </c>
    </row>
    <row r="16" spans="1:5" ht="12.75" thickBot="1">
      <c r="A16" s="1304" t="s">
        <v>1613</v>
      </c>
      <c r="B16" s="1315" t="s">
        <v>2389</v>
      </c>
      <c r="C16" s="1316">
        <v>3080736</v>
      </c>
      <c r="D16" s="1316"/>
      <c r="E16" s="1317">
        <f>+C16+D16</f>
        <v>3080736</v>
      </c>
    </row>
    <row r="17" spans="1:8" ht="12.75" thickBot="1">
      <c r="A17" s="1318" t="s">
        <v>1615</v>
      </c>
      <c r="B17" s="1319" t="s">
        <v>2390</v>
      </c>
      <c r="C17" s="1320">
        <f>SUM(C14:C16)</f>
        <v>3081968</v>
      </c>
      <c r="D17" s="1320">
        <f>SUM(D14:D16)</f>
        <v>0</v>
      </c>
      <c r="E17" s="1321">
        <f>SUM(E14:E16)</f>
        <v>3081968</v>
      </c>
    </row>
    <row r="18" spans="1:8">
      <c r="A18" s="1322" t="s">
        <v>1617</v>
      </c>
      <c r="B18" s="1323" t="s">
        <v>2391</v>
      </c>
      <c r="C18" s="1324">
        <v>192081</v>
      </c>
      <c r="D18" s="1324"/>
      <c r="E18" s="1325">
        <f>+C18+D18</f>
        <v>192081</v>
      </c>
    </row>
    <row r="19" spans="1:8">
      <c r="A19" s="1311" t="s">
        <v>1619</v>
      </c>
      <c r="B19" s="1312" t="s">
        <v>2392</v>
      </c>
      <c r="C19" s="1313">
        <v>0</v>
      </c>
      <c r="D19" s="1313"/>
      <c r="E19" s="1314">
        <f>+C19+D19</f>
        <v>0</v>
      </c>
    </row>
    <row r="20" spans="1:8" ht="12.75" thickBot="1">
      <c r="A20" s="1304" t="s">
        <v>1621</v>
      </c>
      <c r="B20" s="1315" t="s">
        <v>2393</v>
      </c>
      <c r="C20" s="1316">
        <v>595132</v>
      </c>
      <c r="D20" s="1316"/>
      <c r="E20" s="1317">
        <f>+C20+D20</f>
        <v>595132</v>
      </c>
    </row>
    <row r="21" spans="1:8" ht="12.75" thickBot="1">
      <c r="A21" s="1318" t="s">
        <v>1623</v>
      </c>
      <c r="B21" s="1319" t="s">
        <v>2394</v>
      </c>
      <c r="C21" s="1320">
        <f>SUM(C18:C20)</f>
        <v>787213</v>
      </c>
      <c r="D21" s="1320">
        <f>SUM(D18:D20)</f>
        <v>0</v>
      </c>
      <c r="E21" s="1321">
        <f>SUM(E18:E20)</f>
        <v>787213</v>
      </c>
    </row>
    <row r="22" spans="1:8" ht="12.75" thickBot="1">
      <c r="A22" s="1326" t="s">
        <v>1625</v>
      </c>
      <c r="B22" s="1327" t="s">
        <v>2395</v>
      </c>
      <c r="C22" s="1328">
        <v>-1237</v>
      </c>
      <c r="D22" s="1328"/>
      <c r="E22" s="1329">
        <f>+C22+D22</f>
        <v>-1237</v>
      </c>
    </row>
    <row r="23" spans="1:8" ht="12.75" thickBot="1">
      <c r="A23" s="1318" t="s">
        <v>1627</v>
      </c>
      <c r="B23" s="1319" t="s">
        <v>2396</v>
      </c>
      <c r="C23" s="1320">
        <v>36</v>
      </c>
      <c r="D23" s="1320"/>
      <c r="E23" s="1321">
        <f>+C23+D23</f>
        <v>36</v>
      </c>
    </row>
    <row r="24" spans="1:8" ht="12.75" thickBot="1">
      <c r="A24" s="1318" t="s">
        <v>1629</v>
      </c>
      <c r="B24" s="1319" t="s">
        <v>2397</v>
      </c>
      <c r="C24" s="1320">
        <f>+C10+C13+C17+C21+C22+C23</f>
        <v>12461976</v>
      </c>
      <c r="D24" s="1320">
        <f>+D10+D13+D17+D21+D22+D23</f>
        <v>0</v>
      </c>
      <c r="E24" s="1321">
        <f>+E10+E13+E17+E21+E22+E23</f>
        <v>12461976</v>
      </c>
    </row>
    <row r="25" spans="1:8">
      <c r="A25" s="1322" t="s">
        <v>1631</v>
      </c>
      <c r="B25" s="1323" t="s">
        <v>2398</v>
      </c>
      <c r="C25" s="1324">
        <v>6601020</v>
      </c>
      <c r="D25" s="1324"/>
      <c r="E25" s="1325">
        <f>+C25+D25</f>
        <v>6601020</v>
      </c>
    </row>
    <row r="26" spans="1:8">
      <c r="A26" s="1311" t="s">
        <v>1633</v>
      </c>
      <c r="B26" s="1312" t="s">
        <v>2399</v>
      </c>
      <c r="C26" s="1313">
        <v>-1424256</v>
      </c>
      <c r="D26" s="1313"/>
      <c r="E26" s="1314">
        <f>+C26+D26</f>
        <v>-1424256</v>
      </c>
    </row>
    <row r="27" spans="1:8">
      <c r="A27" s="1311" t="s">
        <v>1635</v>
      </c>
      <c r="B27" s="1312" t="s">
        <v>2400</v>
      </c>
      <c r="C27" s="1313"/>
      <c r="D27" s="1313"/>
      <c r="E27" s="1314">
        <f>+C27+D27</f>
        <v>0</v>
      </c>
    </row>
    <row r="28" spans="1:8" ht="12.75" thickBot="1">
      <c r="A28" s="1304" t="s">
        <v>1637</v>
      </c>
      <c r="B28" s="1315" t="s">
        <v>2401</v>
      </c>
      <c r="C28" s="1316">
        <v>-13119</v>
      </c>
      <c r="D28" s="1316"/>
      <c r="E28" s="1317">
        <f>+C28+D28</f>
        <v>-13119</v>
      </c>
      <c r="G28" s="118">
        <f>+'20.mell 2019K13'!E49</f>
        <v>-13119</v>
      </c>
      <c r="H28" s="118">
        <f>+E28-G28</f>
        <v>0</v>
      </c>
    </row>
    <row r="29" spans="1:8" ht="12.75" thickBot="1">
      <c r="A29" s="1318" t="s">
        <v>1639</v>
      </c>
      <c r="B29" s="1319" t="s">
        <v>2402</v>
      </c>
      <c r="C29" s="1320">
        <f>SUM(C25:C28)</f>
        <v>5163645</v>
      </c>
      <c r="D29" s="1320">
        <f>SUM(D25:D28)</f>
        <v>0</v>
      </c>
      <c r="E29" s="1321">
        <f>SUM(E25:E28)</f>
        <v>5163645</v>
      </c>
    </row>
    <row r="30" spans="1:8">
      <c r="A30" s="1322" t="s">
        <v>1641</v>
      </c>
      <c r="B30" s="1323" t="s">
        <v>2403</v>
      </c>
      <c r="C30" s="1324">
        <v>181606</v>
      </c>
      <c r="D30" s="1324"/>
      <c r="E30" s="1325">
        <f>+C30+D30</f>
        <v>181606</v>
      </c>
    </row>
    <row r="31" spans="1:8">
      <c r="A31" s="1311" t="s">
        <v>1643</v>
      </c>
      <c r="B31" s="1312" t="s">
        <v>2404</v>
      </c>
      <c r="C31" s="1313">
        <v>45888</v>
      </c>
      <c r="D31" s="1313"/>
      <c r="E31" s="1314">
        <f>+C31+D31</f>
        <v>45888</v>
      </c>
    </row>
    <row r="32" spans="1:8" ht="12.75" thickBot="1">
      <c r="A32" s="1304" t="s">
        <v>1645</v>
      </c>
      <c r="B32" s="1315" t="s">
        <v>2405</v>
      </c>
      <c r="C32" s="1316">
        <v>102949</v>
      </c>
      <c r="D32" s="1316"/>
      <c r="E32" s="1317">
        <f>+C32+D32</f>
        <v>102949</v>
      </c>
    </row>
    <row r="33" spans="1:8" ht="12.75" thickBot="1">
      <c r="A33" s="1318" t="s">
        <v>1647</v>
      </c>
      <c r="B33" s="1319" t="s">
        <v>2406</v>
      </c>
      <c r="C33" s="1320">
        <f>SUM(C30:C32)</f>
        <v>330443</v>
      </c>
      <c r="D33" s="1320">
        <f>SUM(D30:D32)</f>
        <v>0</v>
      </c>
      <c r="E33" s="1321">
        <f>SUM(E30:E32)</f>
        <v>330443</v>
      </c>
    </row>
    <row r="34" spans="1:8" ht="12.75" thickBot="1">
      <c r="A34" s="1318" t="s">
        <v>1649</v>
      </c>
      <c r="B34" s="1319" t="s">
        <v>2407</v>
      </c>
      <c r="C34" s="1320">
        <v>0</v>
      </c>
      <c r="D34" s="1320">
        <v>0</v>
      </c>
      <c r="E34" s="1321">
        <f>+C34+D34</f>
        <v>0</v>
      </c>
    </row>
    <row r="35" spans="1:8" ht="12.75" thickBot="1">
      <c r="A35" s="1326" t="s">
        <v>1651</v>
      </c>
      <c r="B35" s="1327" t="s">
        <v>2408</v>
      </c>
      <c r="C35" s="1328">
        <v>6967888</v>
      </c>
      <c r="D35" s="1328"/>
      <c r="E35" s="1329">
        <f>+C35+D35</f>
        <v>6967888</v>
      </c>
    </row>
    <row r="36" spans="1:8" ht="12.75" thickBot="1">
      <c r="A36" s="1318" t="s">
        <v>1653</v>
      </c>
      <c r="B36" s="1319" t="s">
        <v>2409</v>
      </c>
      <c r="C36" s="1320">
        <f>+C29+C33+C34+C35</f>
        <v>12461976</v>
      </c>
      <c r="D36" s="1320">
        <f>+D29+D33+D34+D35</f>
        <v>0</v>
      </c>
      <c r="E36" s="1321">
        <f>+E29+E33+E34+E35</f>
        <v>12461976</v>
      </c>
      <c r="H36" s="118">
        <f>+E36-E24</f>
        <v>0</v>
      </c>
    </row>
  </sheetData>
  <mergeCells count="1">
    <mergeCell ref="A2:E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E49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defaultRowHeight="12"/>
  <cols>
    <col min="1" max="1" width="8.140625" style="815" customWidth="1"/>
    <col min="2" max="2" width="82" style="815" customWidth="1"/>
    <col min="3" max="5" width="19.140625" style="815" customWidth="1"/>
    <col min="6" max="256" width="9.140625" style="815"/>
    <col min="257" max="257" width="8.140625" style="815" customWidth="1"/>
    <col min="258" max="258" width="82" style="815" customWidth="1"/>
    <col min="259" max="261" width="19.140625" style="815" customWidth="1"/>
    <col min="262" max="512" width="9.140625" style="815"/>
    <col min="513" max="513" width="8.140625" style="815" customWidth="1"/>
    <col min="514" max="514" width="82" style="815" customWidth="1"/>
    <col min="515" max="517" width="19.140625" style="815" customWidth="1"/>
    <col min="518" max="768" width="9.140625" style="815"/>
    <col min="769" max="769" width="8.140625" style="815" customWidth="1"/>
    <col min="770" max="770" width="82" style="815" customWidth="1"/>
    <col min="771" max="773" width="19.140625" style="815" customWidth="1"/>
    <col min="774" max="1024" width="9.140625" style="815"/>
    <col min="1025" max="1025" width="8.140625" style="815" customWidth="1"/>
    <col min="1026" max="1026" width="82" style="815" customWidth="1"/>
    <col min="1027" max="1029" width="19.140625" style="815" customWidth="1"/>
    <col min="1030" max="1280" width="9.140625" style="815"/>
    <col min="1281" max="1281" width="8.140625" style="815" customWidth="1"/>
    <col min="1282" max="1282" width="82" style="815" customWidth="1"/>
    <col min="1283" max="1285" width="19.140625" style="815" customWidth="1"/>
    <col min="1286" max="1536" width="9.140625" style="815"/>
    <col min="1537" max="1537" width="8.140625" style="815" customWidth="1"/>
    <col min="1538" max="1538" width="82" style="815" customWidth="1"/>
    <col min="1539" max="1541" width="19.140625" style="815" customWidth="1"/>
    <col min="1542" max="1792" width="9.140625" style="815"/>
    <col min="1793" max="1793" width="8.140625" style="815" customWidth="1"/>
    <col min="1794" max="1794" width="82" style="815" customWidth="1"/>
    <col min="1795" max="1797" width="19.140625" style="815" customWidth="1"/>
    <col min="1798" max="2048" width="9.140625" style="815"/>
    <col min="2049" max="2049" width="8.140625" style="815" customWidth="1"/>
    <col min="2050" max="2050" width="82" style="815" customWidth="1"/>
    <col min="2051" max="2053" width="19.140625" style="815" customWidth="1"/>
    <col min="2054" max="2304" width="9.140625" style="815"/>
    <col min="2305" max="2305" width="8.140625" style="815" customWidth="1"/>
    <col min="2306" max="2306" width="82" style="815" customWidth="1"/>
    <col min="2307" max="2309" width="19.140625" style="815" customWidth="1"/>
    <col min="2310" max="2560" width="9.140625" style="815"/>
    <col min="2561" max="2561" width="8.140625" style="815" customWidth="1"/>
    <col min="2562" max="2562" width="82" style="815" customWidth="1"/>
    <col min="2563" max="2565" width="19.140625" style="815" customWidth="1"/>
    <col min="2566" max="2816" width="9.140625" style="815"/>
    <col min="2817" max="2817" width="8.140625" style="815" customWidth="1"/>
    <col min="2818" max="2818" width="82" style="815" customWidth="1"/>
    <col min="2819" max="2821" width="19.140625" style="815" customWidth="1"/>
    <col min="2822" max="3072" width="9.140625" style="815"/>
    <col min="3073" max="3073" width="8.140625" style="815" customWidth="1"/>
    <col min="3074" max="3074" width="82" style="815" customWidth="1"/>
    <col min="3075" max="3077" width="19.140625" style="815" customWidth="1"/>
    <col min="3078" max="3328" width="9.140625" style="815"/>
    <col min="3329" max="3329" width="8.140625" style="815" customWidth="1"/>
    <col min="3330" max="3330" width="82" style="815" customWidth="1"/>
    <col min="3331" max="3333" width="19.140625" style="815" customWidth="1"/>
    <col min="3334" max="3584" width="9.140625" style="815"/>
    <col min="3585" max="3585" width="8.140625" style="815" customWidth="1"/>
    <col min="3586" max="3586" width="82" style="815" customWidth="1"/>
    <col min="3587" max="3589" width="19.140625" style="815" customWidth="1"/>
    <col min="3590" max="3840" width="9.140625" style="815"/>
    <col min="3841" max="3841" width="8.140625" style="815" customWidth="1"/>
    <col min="3842" max="3842" width="82" style="815" customWidth="1"/>
    <col min="3843" max="3845" width="19.140625" style="815" customWidth="1"/>
    <col min="3846" max="4096" width="9.140625" style="815"/>
    <col min="4097" max="4097" width="8.140625" style="815" customWidth="1"/>
    <col min="4098" max="4098" width="82" style="815" customWidth="1"/>
    <col min="4099" max="4101" width="19.140625" style="815" customWidth="1"/>
    <col min="4102" max="4352" width="9.140625" style="815"/>
    <col min="4353" max="4353" width="8.140625" style="815" customWidth="1"/>
    <col min="4354" max="4354" width="82" style="815" customWidth="1"/>
    <col min="4355" max="4357" width="19.140625" style="815" customWidth="1"/>
    <col min="4358" max="4608" width="9.140625" style="815"/>
    <col min="4609" max="4609" width="8.140625" style="815" customWidth="1"/>
    <col min="4610" max="4610" width="82" style="815" customWidth="1"/>
    <col min="4611" max="4613" width="19.140625" style="815" customWidth="1"/>
    <col min="4614" max="4864" width="9.140625" style="815"/>
    <col min="4865" max="4865" width="8.140625" style="815" customWidth="1"/>
    <col min="4866" max="4866" width="82" style="815" customWidth="1"/>
    <col min="4867" max="4869" width="19.140625" style="815" customWidth="1"/>
    <col min="4870" max="5120" width="9.140625" style="815"/>
    <col min="5121" max="5121" width="8.140625" style="815" customWidth="1"/>
    <col min="5122" max="5122" width="82" style="815" customWidth="1"/>
    <col min="5123" max="5125" width="19.140625" style="815" customWidth="1"/>
    <col min="5126" max="5376" width="9.140625" style="815"/>
    <col min="5377" max="5377" width="8.140625" style="815" customWidth="1"/>
    <col min="5378" max="5378" width="82" style="815" customWidth="1"/>
    <col min="5379" max="5381" width="19.140625" style="815" customWidth="1"/>
    <col min="5382" max="5632" width="9.140625" style="815"/>
    <col min="5633" max="5633" width="8.140625" style="815" customWidth="1"/>
    <col min="5634" max="5634" width="82" style="815" customWidth="1"/>
    <col min="5635" max="5637" width="19.140625" style="815" customWidth="1"/>
    <col min="5638" max="5888" width="9.140625" style="815"/>
    <col min="5889" max="5889" width="8.140625" style="815" customWidth="1"/>
    <col min="5890" max="5890" width="82" style="815" customWidth="1"/>
    <col min="5891" max="5893" width="19.140625" style="815" customWidth="1"/>
    <col min="5894" max="6144" width="9.140625" style="815"/>
    <col min="6145" max="6145" width="8.140625" style="815" customWidth="1"/>
    <col min="6146" max="6146" width="82" style="815" customWidth="1"/>
    <col min="6147" max="6149" width="19.140625" style="815" customWidth="1"/>
    <col min="6150" max="6400" width="9.140625" style="815"/>
    <col min="6401" max="6401" width="8.140625" style="815" customWidth="1"/>
    <col min="6402" max="6402" width="82" style="815" customWidth="1"/>
    <col min="6403" max="6405" width="19.140625" style="815" customWidth="1"/>
    <col min="6406" max="6656" width="9.140625" style="815"/>
    <col min="6657" max="6657" width="8.140625" style="815" customWidth="1"/>
    <col min="6658" max="6658" width="82" style="815" customWidth="1"/>
    <col min="6659" max="6661" width="19.140625" style="815" customWidth="1"/>
    <col min="6662" max="6912" width="9.140625" style="815"/>
    <col min="6913" max="6913" width="8.140625" style="815" customWidth="1"/>
    <col min="6914" max="6914" width="82" style="815" customWidth="1"/>
    <col min="6915" max="6917" width="19.140625" style="815" customWidth="1"/>
    <col min="6918" max="7168" width="9.140625" style="815"/>
    <col min="7169" max="7169" width="8.140625" style="815" customWidth="1"/>
    <col min="7170" max="7170" width="82" style="815" customWidth="1"/>
    <col min="7171" max="7173" width="19.140625" style="815" customWidth="1"/>
    <col min="7174" max="7424" width="9.140625" style="815"/>
    <col min="7425" max="7425" width="8.140625" style="815" customWidth="1"/>
    <col min="7426" max="7426" width="82" style="815" customWidth="1"/>
    <col min="7427" max="7429" width="19.140625" style="815" customWidth="1"/>
    <col min="7430" max="7680" width="9.140625" style="815"/>
    <col min="7681" max="7681" width="8.140625" style="815" customWidth="1"/>
    <col min="7682" max="7682" width="82" style="815" customWidth="1"/>
    <col min="7683" max="7685" width="19.140625" style="815" customWidth="1"/>
    <col min="7686" max="7936" width="9.140625" style="815"/>
    <col min="7937" max="7937" width="8.140625" style="815" customWidth="1"/>
    <col min="7938" max="7938" width="82" style="815" customWidth="1"/>
    <col min="7939" max="7941" width="19.140625" style="815" customWidth="1"/>
    <col min="7942" max="8192" width="9.140625" style="815"/>
    <col min="8193" max="8193" width="8.140625" style="815" customWidth="1"/>
    <col min="8194" max="8194" width="82" style="815" customWidth="1"/>
    <col min="8195" max="8197" width="19.140625" style="815" customWidth="1"/>
    <col min="8198" max="8448" width="9.140625" style="815"/>
    <col min="8449" max="8449" width="8.140625" style="815" customWidth="1"/>
    <col min="8450" max="8450" width="82" style="815" customWidth="1"/>
    <col min="8451" max="8453" width="19.140625" style="815" customWidth="1"/>
    <col min="8454" max="8704" width="9.140625" style="815"/>
    <col min="8705" max="8705" width="8.140625" style="815" customWidth="1"/>
    <col min="8706" max="8706" width="82" style="815" customWidth="1"/>
    <col min="8707" max="8709" width="19.140625" style="815" customWidth="1"/>
    <col min="8710" max="8960" width="9.140625" style="815"/>
    <col min="8961" max="8961" width="8.140625" style="815" customWidth="1"/>
    <col min="8962" max="8962" width="82" style="815" customWidth="1"/>
    <col min="8963" max="8965" width="19.140625" style="815" customWidth="1"/>
    <col min="8966" max="9216" width="9.140625" style="815"/>
    <col min="9217" max="9217" width="8.140625" style="815" customWidth="1"/>
    <col min="9218" max="9218" width="82" style="815" customWidth="1"/>
    <col min="9219" max="9221" width="19.140625" style="815" customWidth="1"/>
    <col min="9222" max="9472" width="9.140625" style="815"/>
    <col min="9473" max="9473" width="8.140625" style="815" customWidth="1"/>
    <col min="9474" max="9474" width="82" style="815" customWidth="1"/>
    <col min="9475" max="9477" width="19.140625" style="815" customWidth="1"/>
    <col min="9478" max="9728" width="9.140625" style="815"/>
    <col min="9729" max="9729" width="8.140625" style="815" customWidth="1"/>
    <col min="9730" max="9730" width="82" style="815" customWidth="1"/>
    <col min="9731" max="9733" width="19.140625" style="815" customWidth="1"/>
    <col min="9734" max="9984" width="9.140625" style="815"/>
    <col min="9985" max="9985" width="8.140625" style="815" customWidth="1"/>
    <col min="9986" max="9986" width="82" style="815" customWidth="1"/>
    <col min="9987" max="9989" width="19.140625" style="815" customWidth="1"/>
    <col min="9990" max="10240" width="9.140625" style="815"/>
    <col min="10241" max="10241" width="8.140625" style="815" customWidth="1"/>
    <col min="10242" max="10242" width="82" style="815" customWidth="1"/>
    <col min="10243" max="10245" width="19.140625" style="815" customWidth="1"/>
    <col min="10246" max="10496" width="9.140625" style="815"/>
    <col min="10497" max="10497" width="8.140625" style="815" customWidth="1"/>
    <col min="10498" max="10498" width="82" style="815" customWidth="1"/>
    <col min="10499" max="10501" width="19.140625" style="815" customWidth="1"/>
    <col min="10502" max="10752" width="9.140625" style="815"/>
    <col min="10753" max="10753" width="8.140625" style="815" customWidth="1"/>
    <col min="10754" max="10754" width="82" style="815" customWidth="1"/>
    <col min="10755" max="10757" width="19.140625" style="815" customWidth="1"/>
    <col min="10758" max="11008" width="9.140625" style="815"/>
    <col min="11009" max="11009" width="8.140625" style="815" customWidth="1"/>
    <col min="11010" max="11010" width="82" style="815" customWidth="1"/>
    <col min="11011" max="11013" width="19.140625" style="815" customWidth="1"/>
    <col min="11014" max="11264" width="9.140625" style="815"/>
    <col min="11265" max="11265" width="8.140625" style="815" customWidth="1"/>
    <col min="11266" max="11266" width="82" style="815" customWidth="1"/>
    <col min="11267" max="11269" width="19.140625" style="815" customWidth="1"/>
    <col min="11270" max="11520" width="9.140625" style="815"/>
    <col min="11521" max="11521" width="8.140625" style="815" customWidth="1"/>
    <col min="11522" max="11522" width="82" style="815" customWidth="1"/>
    <col min="11523" max="11525" width="19.140625" style="815" customWidth="1"/>
    <col min="11526" max="11776" width="9.140625" style="815"/>
    <col min="11777" max="11777" width="8.140625" style="815" customWidth="1"/>
    <col min="11778" max="11778" width="82" style="815" customWidth="1"/>
    <col min="11779" max="11781" width="19.140625" style="815" customWidth="1"/>
    <col min="11782" max="12032" width="9.140625" style="815"/>
    <col min="12033" max="12033" width="8.140625" style="815" customWidth="1"/>
    <col min="12034" max="12034" width="82" style="815" customWidth="1"/>
    <col min="12035" max="12037" width="19.140625" style="815" customWidth="1"/>
    <col min="12038" max="12288" width="9.140625" style="815"/>
    <col min="12289" max="12289" width="8.140625" style="815" customWidth="1"/>
    <col min="12290" max="12290" width="82" style="815" customWidth="1"/>
    <col min="12291" max="12293" width="19.140625" style="815" customWidth="1"/>
    <col min="12294" max="12544" width="9.140625" style="815"/>
    <col min="12545" max="12545" width="8.140625" style="815" customWidth="1"/>
    <col min="12546" max="12546" width="82" style="815" customWidth="1"/>
    <col min="12547" max="12549" width="19.140625" style="815" customWidth="1"/>
    <col min="12550" max="12800" width="9.140625" style="815"/>
    <col min="12801" max="12801" width="8.140625" style="815" customWidth="1"/>
    <col min="12802" max="12802" width="82" style="815" customWidth="1"/>
    <col min="12803" max="12805" width="19.140625" style="815" customWidth="1"/>
    <col min="12806" max="13056" width="9.140625" style="815"/>
    <col min="13057" max="13057" width="8.140625" style="815" customWidth="1"/>
    <col min="13058" max="13058" width="82" style="815" customWidth="1"/>
    <col min="13059" max="13061" width="19.140625" style="815" customWidth="1"/>
    <col min="13062" max="13312" width="9.140625" style="815"/>
    <col min="13313" max="13313" width="8.140625" style="815" customWidth="1"/>
    <col min="13314" max="13314" width="82" style="815" customWidth="1"/>
    <col min="13315" max="13317" width="19.140625" style="815" customWidth="1"/>
    <col min="13318" max="13568" width="9.140625" style="815"/>
    <col min="13569" max="13569" width="8.140625" style="815" customWidth="1"/>
    <col min="13570" max="13570" width="82" style="815" customWidth="1"/>
    <col min="13571" max="13573" width="19.140625" style="815" customWidth="1"/>
    <col min="13574" max="13824" width="9.140625" style="815"/>
    <col min="13825" max="13825" width="8.140625" style="815" customWidth="1"/>
    <col min="13826" max="13826" width="82" style="815" customWidth="1"/>
    <col min="13827" max="13829" width="19.140625" style="815" customWidth="1"/>
    <col min="13830" max="14080" width="9.140625" style="815"/>
    <col min="14081" max="14081" width="8.140625" style="815" customWidth="1"/>
    <col min="14082" max="14082" width="82" style="815" customWidth="1"/>
    <col min="14083" max="14085" width="19.140625" style="815" customWidth="1"/>
    <col min="14086" max="14336" width="9.140625" style="815"/>
    <col min="14337" max="14337" width="8.140625" style="815" customWidth="1"/>
    <col min="14338" max="14338" width="82" style="815" customWidth="1"/>
    <col min="14339" max="14341" width="19.140625" style="815" customWidth="1"/>
    <col min="14342" max="14592" width="9.140625" style="815"/>
    <col min="14593" max="14593" width="8.140625" style="815" customWidth="1"/>
    <col min="14594" max="14594" width="82" style="815" customWidth="1"/>
    <col min="14595" max="14597" width="19.140625" style="815" customWidth="1"/>
    <col min="14598" max="14848" width="9.140625" style="815"/>
    <col min="14849" max="14849" width="8.140625" style="815" customWidth="1"/>
    <col min="14850" max="14850" width="82" style="815" customWidth="1"/>
    <col min="14851" max="14853" width="19.140625" style="815" customWidth="1"/>
    <col min="14854" max="15104" width="9.140625" style="815"/>
    <col min="15105" max="15105" width="8.140625" style="815" customWidth="1"/>
    <col min="15106" max="15106" width="82" style="815" customWidth="1"/>
    <col min="15107" max="15109" width="19.140625" style="815" customWidth="1"/>
    <col min="15110" max="15360" width="9.140625" style="815"/>
    <col min="15361" max="15361" width="8.140625" style="815" customWidth="1"/>
    <col min="15362" max="15362" width="82" style="815" customWidth="1"/>
    <col min="15363" max="15365" width="19.140625" style="815" customWidth="1"/>
    <col min="15366" max="15616" width="9.140625" style="815"/>
    <col min="15617" max="15617" width="8.140625" style="815" customWidth="1"/>
    <col min="15618" max="15618" width="82" style="815" customWidth="1"/>
    <col min="15619" max="15621" width="19.140625" style="815" customWidth="1"/>
    <col min="15622" max="15872" width="9.140625" style="815"/>
    <col min="15873" max="15873" width="8.140625" style="815" customWidth="1"/>
    <col min="15874" max="15874" width="82" style="815" customWidth="1"/>
    <col min="15875" max="15877" width="19.140625" style="815" customWidth="1"/>
    <col min="15878" max="16128" width="9.140625" style="815"/>
    <col min="16129" max="16129" width="8.140625" style="815" customWidth="1"/>
    <col min="16130" max="16130" width="82" style="815" customWidth="1"/>
    <col min="16131" max="16133" width="19.140625" style="815" customWidth="1"/>
    <col min="16134" max="16384" width="9.140625" style="815"/>
  </cols>
  <sheetData>
    <row r="1" spans="1:5" ht="15.75">
      <c r="E1" s="153" t="s">
        <v>1578</v>
      </c>
    </row>
    <row r="2" spans="1:5" s="810" customFormat="1" ht="15.75">
      <c r="A2" s="1928" t="s">
        <v>1579</v>
      </c>
      <c r="B2" s="1930"/>
      <c r="C2" s="1930"/>
      <c r="D2" s="1930"/>
      <c r="E2" s="1930"/>
    </row>
    <row r="3" spans="1:5" ht="12" customHeight="1" thickBot="1">
      <c r="A3" s="1338"/>
      <c r="B3" s="1354"/>
      <c r="C3" s="1354"/>
      <c r="D3" s="1354"/>
      <c r="E3" s="203" t="s">
        <v>458</v>
      </c>
    </row>
    <row r="4" spans="1:5" s="810" customFormat="1" ht="24">
      <c r="A4" s="1300" t="s">
        <v>1589</v>
      </c>
      <c r="B4" s="1301" t="s">
        <v>7</v>
      </c>
      <c r="C4" s="1301" t="s">
        <v>1590</v>
      </c>
      <c r="D4" s="1301" t="s">
        <v>1591</v>
      </c>
      <c r="E4" s="1302" t="s">
        <v>1592</v>
      </c>
    </row>
    <row r="5" spans="1:5" ht="12.75" thickBot="1">
      <c r="A5" s="1339">
        <v>1</v>
      </c>
      <c r="B5" s="1340">
        <v>2</v>
      </c>
      <c r="C5" s="1340">
        <v>3</v>
      </c>
      <c r="D5" s="1340">
        <v>4</v>
      </c>
      <c r="E5" s="1341">
        <v>5</v>
      </c>
    </row>
    <row r="6" spans="1:5">
      <c r="A6" s="1307" t="s">
        <v>1593</v>
      </c>
      <c r="B6" s="1308" t="s">
        <v>2410</v>
      </c>
      <c r="C6" s="1309">
        <v>408393</v>
      </c>
      <c r="D6" s="1309"/>
      <c r="E6" s="1310">
        <f>+C6+D6</f>
        <v>408393</v>
      </c>
    </row>
    <row r="7" spans="1:5">
      <c r="A7" s="1311" t="s">
        <v>1595</v>
      </c>
      <c r="B7" s="1312" t="s">
        <v>2411</v>
      </c>
      <c r="C7" s="1313">
        <v>95018</v>
      </c>
      <c r="D7" s="1313"/>
      <c r="E7" s="1314">
        <f>+C7+D7</f>
        <v>95018</v>
      </c>
    </row>
    <row r="8" spans="1:5" ht="12.75" thickBot="1">
      <c r="A8" s="1304" t="s">
        <v>1597</v>
      </c>
      <c r="B8" s="1315" t="s">
        <v>2412</v>
      </c>
      <c r="C8" s="1316">
        <v>236</v>
      </c>
      <c r="D8" s="1316"/>
      <c r="E8" s="1317">
        <f>+C8+D8</f>
        <v>236</v>
      </c>
    </row>
    <row r="9" spans="1:5" ht="12.75" thickBot="1">
      <c r="A9" s="1318" t="s">
        <v>1599</v>
      </c>
      <c r="B9" s="1319" t="s">
        <v>2413</v>
      </c>
      <c r="C9" s="1320">
        <f>SUM(C6:C8)</f>
        <v>503647</v>
      </c>
      <c r="D9" s="1320">
        <f>SUM(D6:D8)</f>
        <v>0</v>
      </c>
      <c r="E9" s="1321">
        <f>SUM(E6:E8)</f>
        <v>503647</v>
      </c>
    </row>
    <row r="10" spans="1:5">
      <c r="A10" s="1322" t="s">
        <v>1601</v>
      </c>
      <c r="B10" s="1323" t="s">
        <v>2414</v>
      </c>
      <c r="C10" s="1324">
        <v>-2487</v>
      </c>
      <c r="D10" s="1324"/>
      <c r="E10" s="1325">
        <f>+C10+D10</f>
        <v>-2487</v>
      </c>
    </row>
    <row r="11" spans="1:5" ht="12.75" thickBot="1">
      <c r="A11" s="1304" t="s">
        <v>1603</v>
      </c>
      <c r="B11" s="1315" t="s">
        <v>2415</v>
      </c>
      <c r="C11" s="1316"/>
      <c r="D11" s="1316"/>
      <c r="E11" s="1317">
        <f>+C11+D11</f>
        <v>0</v>
      </c>
    </row>
    <row r="12" spans="1:5" ht="12.75" thickBot="1">
      <c r="A12" s="1318" t="s">
        <v>1605</v>
      </c>
      <c r="B12" s="1319" t="s">
        <v>2416</v>
      </c>
      <c r="C12" s="1320">
        <f>SUM(C10:C11)</f>
        <v>-2487</v>
      </c>
      <c r="D12" s="1320">
        <f>SUM(D10:D11)</f>
        <v>0</v>
      </c>
      <c r="E12" s="1321">
        <f>SUM(E10:E11)</f>
        <v>-2487</v>
      </c>
    </row>
    <row r="13" spans="1:5">
      <c r="A13" s="1322" t="s">
        <v>1607</v>
      </c>
      <c r="B13" s="1323" t="s">
        <v>2417</v>
      </c>
      <c r="C13" s="1324">
        <v>1796039</v>
      </c>
      <c r="D13" s="1324">
        <v>-888766</v>
      </c>
      <c r="E13" s="1325">
        <f>+C13+D13</f>
        <v>907273</v>
      </c>
    </row>
    <row r="14" spans="1:5">
      <c r="A14" s="1311" t="s">
        <v>1609</v>
      </c>
      <c r="B14" s="1312" t="s">
        <v>2418</v>
      </c>
      <c r="C14" s="1313">
        <v>660712</v>
      </c>
      <c r="D14" s="1313"/>
      <c r="E14" s="1314">
        <f>+C14+D14</f>
        <v>660712</v>
      </c>
    </row>
    <row r="15" spans="1:5">
      <c r="A15" s="1311" t="s">
        <v>1611</v>
      </c>
      <c r="B15" s="1312" t="s">
        <v>2419</v>
      </c>
      <c r="C15" s="1313">
        <v>188667</v>
      </c>
      <c r="D15" s="1313"/>
      <c r="E15" s="1314">
        <f>+C15+D15</f>
        <v>188667</v>
      </c>
    </row>
    <row r="16" spans="1:5" ht="12.75" thickBot="1">
      <c r="A16" s="1304" t="s">
        <v>1613</v>
      </c>
      <c r="B16" s="1315" t="s">
        <v>2420</v>
      </c>
      <c r="C16" s="1316">
        <v>47881</v>
      </c>
      <c r="D16" s="1316"/>
      <c r="E16" s="1317">
        <f>+C16+D16</f>
        <v>47881</v>
      </c>
    </row>
    <row r="17" spans="1:5" ht="12.75" thickBot="1">
      <c r="A17" s="1318" t="s">
        <v>1615</v>
      </c>
      <c r="B17" s="1319" t="s">
        <v>2421</v>
      </c>
      <c r="C17" s="1320">
        <f>SUM(C13:C16)</f>
        <v>2693299</v>
      </c>
      <c r="D17" s="1320">
        <f>SUM(D13:D16)</f>
        <v>-888766</v>
      </c>
      <c r="E17" s="1321">
        <f>SUM(E13:E16)</f>
        <v>1804533</v>
      </c>
    </row>
    <row r="18" spans="1:5">
      <c r="A18" s="1322" t="s">
        <v>1617</v>
      </c>
      <c r="B18" s="1323" t="s">
        <v>2422</v>
      </c>
      <c r="C18" s="1324">
        <v>83198</v>
      </c>
      <c r="D18" s="1324"/>
      <c r="E18" s="1325">
        <f>+C18+D18</f>
        <v>83198</v>
      </c>
    </row>
    <row r="19" spans="1:5">
      <c r="A19" s="1311" t="s">
        <v>1619</v>
      </c>
      <c r="B19" s="1312" t="s">
        <v>2423</v>
      </c>
      <c r="C19" s="1313">
        <v>452196</v>
      </c>
      <c r="D19" s="1313"/>
      <c r="E19" s="1314">
        <f>+C19+D19</f>
        <v>452196</v>
      </c>
    </row>
    <row r="20" spans="1:5">
      <c r="A20" s="1311" t="s">
        <v>1621</v>
      </c>
      <c r="B20" s="1312" t="s">
        <v>2424</v>
      </c>
      <c r="C20" s="1313"/>
      <c r="D20" s="1313"/>
      <c r="E20" s="1314">
        <f>+C20+D20</f>
        <v>0</v>
      </c>
    </row>
    <row r="21" spans="1:5" ht="12.75" thickBot="1">
      <c r="A21" s="1304" t="s">
        <v>1623</v>
      </c>
      <c r="B21" s="1315" t="s">
        <v>2425</v>
      </c>
      <c r="C21" s="1316">
        <v>13196</v>
      </c>
      <c r="D21" s="1316"/>
      <c r="E21" s="1317">
        <f>+C21+D21</f>
        <v>13196</v>
      </c>
    </row>
    <row r="22" spans="1:5" ht="12.75" thickBot="1">
      <c r="A22" s="1318" t="s">
        <v>1625</v>
      </c>
      <c r="B22" s="1319" t="s">
        <v>2426</v>
      </c>
      <c r="C22" s="1320">
        <f>SUM(C18:C21)</f>
        <v>548590</v>
      </c>
      <c r="D22" s="1320">
        <f>SUM(D18:D21)</f>
        <v>0</v>
      </c>
      <c r="E22" s="1321">
        <f>SUM(E18:E21)</f>
        <v>548590</v>
      </c>
    </row>
    <row r="23" spans="1:5">
      <c r="A23" s="1322" t="s">
        <v>1627</v>
      </c>
      <c r="B23" s="1323" t="s">
        <v>2427</v>
      </c>
      <c r="C23" s="1324">
        <v>764648</v>
      </c>
      <c r="D23" s="1324"/>
      <c r="E23" s="1325">
        <f>+C23+D23</f>
        <v>764648</v>
      </c>
    </row>
    <row r="24" spans="1:5">
      <c r="A24" s="1311" t="s">
        <v>1629</v>
      </c>
      <c r="B24" s="1312" t="s">
        <v>2428</v>
      </c>
      <c r="C24" s="1313">
        <v>161988</v>
      </c>
      <c r="D24" s="1313"/>
      <c r="E24" s="1314">
        <f>+C24+D24</f>
        <v>161988</v>
      </c>
    </row>
    <row r="25" spans="1:5" ht="12.75" thickBot="1">
      <c r="A25" s="1304" t="s">
        <v>1631</v>
      </c>
      <c r="B25" s="1315" t="s">
        <v>2429</v>
      </c>
      <c r="C25" s="1316">
        <v>171345</v>
      </c>
      <c r="D25" s="1316"/>
      <c r="E25" s="1317">
        <f>+C25+D25</f>
        <v>171345</v>
      </c>
    </row>
    <row r="26" spans="1:5" ht="12.75" thickBot="1">
      <c r="A26" s="1318" t="s">
        <v>1633</v>
      </c>
      <c r="B26" s="1319" t="s">
        <v>2430</v>
      </c>
      <c r="C26" s="1320">
        <f>SUM(C23:C25)</f>
        <v>1097981</v>
      </c>
      <c r="D26" s="1320">
        <f>SUM(D23:D25)</f>
        <v>0</v>
      </c>
      <c r="E26" s="1321">
        <f>SUM(E23:E25)</f>
        <v>1097981</v>
      </c>
    </row>
    <row r="27" spans="1:5" ht="12.75" thickBot="1">
      <c r="A27" s="1318" t="s">
        <v>1635</v>
      </c>
      <c r="B27" s="1319" t="s">
        <v>2431</v>
      </c>
      <c r="C27" s="1320">
        <v>249203</v>
      </c>
      <c r="D27" s="1320"/>
      <c r="E27" s="1321">
        <f>+C27+D27</f>
        <v>249203</v>
      </c>
    </row>
    <row r="28" spans="1:5" ht="12.75" thickBot="1">
      <c r="A28" s="1326" t="s">
        <v>1637</v>
      </c>
      <c r="B28" s="1327" t="s">
        <v>2432</v>
      </c>
      <c r="C28" s="1328">
        <v>1311908</v>
      </c>
      <c r="D28" s="1328">
        <v>-888766</v>
      </c>
      <c r="E28" s="1329">
        <f>+C28+D28</f>
        <v>423142</v>
      </c>
    </row>
    <row r="29" spans="1:5" ht="12.75" thickBot="1">
      <c r="A29" s="1318" t="s">
        <v>1639</v>
      </c>
      <c r="B29" s="1319" t="s">
        <v>2433</v>
      </c>
      <c r="C29" s="1320">
        <f>+C9+C12+C17-C22-C26-C27-C28</f>
        <v>-13223</v>
      </c>
      <c r="D29" s="1320">
        <f>+D9+D12+D17-D22-D26-D27-D28</f>
        <v>0</v>
      </c>
      <c r="E29" s="1321">
        <f>+E9+E12+E17-E22-E26-E27-E28</f>
        <v>-13223</v>
      </c>
    </row>
    <row r="30" spans="1:5">
      <c r="A30" s="1322" t="s">
        <v>1641</v>
      </c>
      <c r="B30" s="1323" t="s">
        <v>2434</v>
      </c>
      <c r="C30" s="1324"/>
      <c r="D30" s="1324"/>
      <c r="E30" s="1325">
        <f t="shared" ref="E30:E36" si="0">+C30+D30</f>
        <v>0</v>
      </c>
    </row>
    <row r="31" spans="1:5">
      <c r="A31" s="1311" t="s">
        <v>1643</v>
      </c>
      <c r="B31" s="1312" t="s">
        <v>2435</v>
      </c>
      <c r="C31" s="1313"/>
      <c r="D31" s="1313"/>
      <c r="E31" s="1314">
        <f t="shared" si="0"/>
        <v>0</v>
      </c>
    </row>
    <row r="32" spans="1:5">
      <c r="A32" s="1311" t="s">
        <v>1645</v>
      </c>
      <c r="B32" s="1312" t="s">
        <v>2436</v>
      </c>
      <c r="C32" s="1313"/>
      <c r="D32" s="1313"/>
      <c r="E32" s="1314">
        <f t="shared" si="0"/>
        <v>0</v>
      </c>
    </row>
    <row r="33" spans="1:5">
      <c r="A33" s="1311" t="s">
        <v>1647</v>
      </c>
      <c r="B33" s="1312" t="s">
        <v>2437</v>
      </c>
      <c r="C33" s="1313"/>
      <c r="D33" s="1313"/>
      <c r="E33" s="1314">
        <f t="shared" si="0"/>
        <v>0</v>
      </c>
    </row>
    <row r="34" spans="1:5">
      <c r="A34" s="1311" t="s">
        <v>1649</v>
      </c>
      <c r="B34" s="1312" t="s">
        <v>2438</v>
      </c>
      <c r="C34" s="1313"/>
      <c r="D34" s="1313"/>
      <c r="E34" s="1314">
        <f t="shared" si="0"/>
        <v>0</v>
      </c>
    </row>
    <row r="35" spans="1:5" ht="24">
      <c r="A35" s="1311" t="s">
        <v>1651</v>
      </c>
      <c r="B35" s="1312" t="s">
        <v>2439</v>
      </c>
      <c r="C35" s="1313"/>
      <c r="D35" s="1313"/>
      <c r="E35" s="1314">
        <f t="shared" si="0"/>
        <v>0</v>
      </c>
    </row>
    <row r="36" spans="1:5" ht="24.75" thickBot="1">
      <c r="A36" s="1304" t="s">
        <v>1653</v>
      </c>
      <c r="B36" s="1315" t="s">
        <v>2440</v>
      </c>
      <c r="C36" s="1316"/>
      <c r="D36" s="1316"/>
      <c r="E36" s="1317">
        <f t="shared" si="0"/>
        <v>0</v>
      </c>
    </row>
    <row r="37" spans="1:5" ht="12.75" thickBot="1">
      <c r="A37" s="1318" t="s">
        <v>1655</v>
      </c>
      <c r="B37" s="1319" t="s">
        <v>2441</v>
      </c>
      <c r="C37" s="1320">
        <f>+C30+C31+C32+C33+C34</f>
        <v>0</v>
      </c>
      <c r="D37" s="1320">
        <f>+D30+D31+D32+D33+D34</f>
        <v>0</v>
      </c>
      <c r="E37" s="1321">
        <f>+E30+E31+E32+E33+E34</f>
        <v>0</v>
      </c>
    </row>
    <row r="38" spans="1:5">
      <c r="A38" s="1322" t="s">
        <v>1657</v>
      </c>
      <c r="B38" s="1323" t="s">
        <v>2442</v>
      </c>
      <c r="C38" s="1324"/>
      <c r="D38" s="1324"/>
      <c r="E38" s="1325">
        <f t="shared" ref="E38:E46" si="1">+C38+D38</f>
        <v>0</v>
      </c>
    </row>
    <row r="39" spans="1:5" ht="24">
      <c r="A39" s="1311" t="s">
        <v>1659</v>
      </c>
      <c r="B39" s="1312" t="s">
        <v>2443</v>
      </c>
      <c r="C39" s="1313"/>
      <c r="D39" s="1313"/>
      <c r="E39" s="1314">
        <f t="shared" si="1"/>
        <v>0</v>
      </c>
    </row>
    <row r="40" spans="1:5">
      <c r="A40" s="1311" t="s">
        <v>1661</v>
      </c>
      <c r="B40" s="1312" t="s">
        <v>2444</v>
      </c>
      <c r="C40" s="1313">
        <v>1555</v>
      </c>
      <c r="D40" s="1313"/>
      <c r="E40" s="1314">
        <f t="shared" si="1"/>
        <v>1555</v>
      </c>
    </row>
    <row r="41" spans="1:5">
      <c r="A41" s="1311" t="s">
        <v>1663</v>
      </c>
      <c r="B41" s="1312" t="s">
        <v>2445</v>
      </c>
      <c r="C41" s="1313">
        <v>-1660</v>
      </c>
      <c r="D41" s="1313"/>
      <c r="E41" s="1314">
        <f t="shared" si="1"/>
        <v>-1660</v>
      </c>
    </row>
    <row r="42" spans="1:5">
      <c r="A42" s="1311" t="s">
        <v>1665</v>
      </c>
      <c r="B42" s="1312" t="s">
        <v>2446</v>
      </c>
      <c r="C42" s="1313"/>
      <c r="D42" s="1313"/>
      <c r="E42" s="1314">
        <f t="shared" si="1"/>
        <v>0</v>
      </c>
    </row>
    <row r="43" spans="1:5">
      <c r="A43" s="1311" t="s">
        <v>1667</v>
      </c>
      <c r="B43" s="1312" t="s">
        <v>2447</v>
      </c>
      <c r="C43" s="1313"/>
      <c r="D43" s="1313"/>
      <c r="E43" s="1314">
        <f t="shared" si="1"/>
        <v>0</v>
      </c>
    </row>
    <row r="44" spans="1:5">
      <c r="A44" s="1311" t="s">
        <v>1669</v>
      </c>
      <c r="B44" s="1312" t="s">
        <v>2448</v>
      </c>
      <c r="C44" s="1313">
        <v>1</v>
      </c>
      <c r="D44" s="1313"/>
      <c r="E44" s="1314">
        <f t="shared" si="1"/>
        <v>1</v>
      </c>
    </row>
    <row r="45" spans="1:5" ht="24">
      <c r="A45" s="1311" t="s">
        <v>1671</v>
      </c>
      <c r="B45" s="1312" t="s">
        <v>2449</v>
      </c>
      <c r="C45" s="1313"/>
      <c r="D45" s="1313"/>
      <c r="E45" s="1314">
        <f t="shared" si="1"/>
        <v>0</v>
      </c>
    </row>
    <row r="46" spans="1:5" ht="24.75" thickBot="1">
      <c r="A46" s="1304" t="s">
        <v>1673</v>
      </c>
      <c r="B46" s="1315" t="s">
        <v>2450</v>
      </c>
      <c r="C46" s="1316"/>
      <c r="D46" s="1316"/>
      <c r="E46" s="1317">
        <f t="shared" si="1"/>
        <v>0</v>
      </c>
    </row>
    <row r="47" spans="1:5" ht="12.75" thickBot="1">
      <c r="A47" s="1318" t="s">
        <v>1675</v>
      </c>
      <c r="B47" s="1319" t="s">
        <v>2451</v>
      </c>
      <c r="C47" s="1320">
        <f>+C38+C39+C40+C41+C44</f>
        <v>-104</v>
      </c>
      <c r="D47" s="1320">
        <f>+D38+D39+D40+D41+D44</f>
        <v>0</v>
      </c>
      <c r="E47" s="1321">
        <f>+E38+E39+E40+E41+E44</f>
        <v>-104</v>
      </c>
    </row>
    <row r="48" spans="1:5" ht="12.75" thickBot="1">
      <c r="A48" s="1318" t="s">
        <v>1677</v>
      </c>
      <c r="B48" s="1319" t="s">
        <v>2452</v>
      </c>
      <c r="C48" s="1320">
        <f>+C37-C47</f>
        <v>104</v>
      </c>
      <c r="D48" s="1320">
        <f>+D37-D47</f>
        <v>0</v>
      </c>
      <c r="E48" s="1321">
        <f>+E37-E47</f>
        <v>104</v>
      </c>
    </row>
    <row r="49" spans="1:5" ht="12.75" thickBot="1">
      <c r="A49" s="1318" t="s">
        <v>1679</v>
      </c>
      <c r="B49" s="1319" t="s">
        <v>2453</v>
      </c>
      <c r="C49" s="1320">
        <f>+C29+C48</f>
        <v>-13119</v>
      </c>
      <c r="D49" s="1320">
        <f>+D29+D48</f>
        <v>0</v>
      </c>
      <c r="E49" s="1321">
        <f>+E29+E48</f>
        <v>-13119</v>
      </c>
    </row>
  </sheetData>
  <mergeCells count="1">
    <mergeCell ref="A2:E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5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M95"/>
  <sheetViews>
    <sheetView zoomScaleNormal="100" workbookViewId="0"/>
  </sheetViews>
  <sheetFormatPr defaultRowHeight="12.75"/>
  <cols>
    <col min="1" max="1" width="48.7109375" style="1358" customWidth="1"/>
    <col min="2" max="2" width="11.42578125" style="1358" customWidth="1"/>
    <col min="3" max="3" width="14.140625" style="1358" customWidth="1"/>
    <col min="4" max="4" width="12.5703125" style="1358" customWidth="1"/>
    <col min="5" max="5" width="9.42578125" style="1358" bestFit="1" customWidth="1"/>
    <col min="6" max="6" width="13.85546875" style="1358" customWidth="1"/>
    <col min="7" max="7" width="10" style="1380" bestFit="1" customWidth="1"/>
    <col min="8" max="8" width="4.85546875" style="1410" customWidth="1"/>
    <col min="9" max="9" width="20" style="1361" customWidth="1"/>
    <col min="10" max="10" width="19.7109375" style="1358" bestFit="1" customWidth="1"/>
    <col min="11" max="11" width="9.140625" style="1358"/>
    <col min="12" max="13" width="9.140625" style="1358" hidden="1" customWidth="1"/>
    <col min="14" max="256" width="9.140625" style="1358"/>
    <col min="257" max="257" width="48.7109375" style="1358" customWidth="1"/>
    <col min="258" max="258" width="11.42578125" style="1358" customWidth="1"/>
    <col min="259" max="259" width="14.140625" style="1358" customWidth="1"/>
    <col min="260" max="260" width="12.5703125" style="1358" customWidth="1"/>
    <col min="261" max="261" width="9.42578125" style="1358" bestFit="1" customWidth="1"/>
    <col min="262" max="262" width="13.85546875" style="1358" customWidth="1"/>
    <col min="263" max="263" width="10" style="1358" bestFit="1" customWidth="1"/>
    <col min="264" max="264" width="4.85546875" style="1358" customWidth="1"/>
    <col min="265" max="265" width="20" style="1358" customWidth="1"/>
    <col min="266" max="266" width="19.7109375" style="1358" bestFit="1" customWidth="1"/>
    <col min="267" max="267" width="9.140625" style="1358"/>
    <col min="268" max="269" width="0" style="1358" hidden="1" customWidth="1"/>
    <col min="270" max="512" width="9.140625" style="1358"/>
    <col min="513" max="513" width="48.7109375" style="1358" customWidth="1"/>
    <col min="514" max="514" width="11.42578125" style="1358" customWidth="1"/>
    <col min="515" max="515" width="14.140625" style="1358" customWidth="1"/>
    <col min="516" max="516" width="12.5703125" style="1358" customWidth="1"/>
    <col min="517" max="517" width="9.42578125" style="1358" bestFit="1" customWidth="1"/>
    <col min="518" max="518" width="13.85546875" style="1358" customWidth="1"/>
    <col min="519" max="519" width="10" style="1358" bestFit="1" customWidth="1"/>
    <col min="520" max="520" width="4.85546875" style="1358" customWidth="1"/>
    <col min="521" max="521" width="20" style="1358" customWidth="1"/>
    <col min="522" max="522" width="19.7109375" style="1358" bestFit="1" customWidth="1"/>
    <col min="523" max="523" width="9.140625" style="1358"/>
    <col min="524" max="525" width="0" style="1358" hidden="1" customWidth="1"/>
    <col min="526" max="768" width="9.140625" style="1358"/>
    <col min="769" max="769" width="48.7109375" style="1358" customWidth="1"/>
    <col min="770" max="770" width="11.42578125" style="1358" customWidth="1"/>
    <col min="771" max="771" width="14.140625" style="1358" customWidth="1"/>
    <col min="772" max="772" width="12.5703125" style="1358" customWidth="1"/>
    <col min="773" max="773" width="9.42578125" style="1358" bestFit="1" customWidth="1"/>
    <col min="774" max="774" width="13.85546875" style="1358" customWidth="1"/>
    <col min="775" max="775" width="10" style="1358" bestFit="1" customWidth="1"/>
    <col min="776" max="776" width="4.85546875" style="1358" customWidth="1"/>
    <col min="777" max="777" width="20" style="1358" customWidth="1"/>
    <col min="778" max="778" width="19.7109375" style="1358" bestFit="1" customWidth="1"/>
    <col min="779" max="779" width="9.140625" style="1358"/>
    <col min="780" max="781" width="0" style="1358" hidden="1" customWidth="1"/>
    <col min="782" max="1024" width="9.140625" style="1358"/>
    <col min="1025" max="1025" width="48.7109375" style="1358" customWidth="1"/>
    <col min="1026" max="1026" width="11.42578125" style="1358" customWidth="1"/>
    <col min="1027" max="1027" width="14.140625" style="1358" customWidth="1"/>
    <col min="1028" max="1028" width="12.5703125" style="1358" customWidth="1"/>
    <col min="1029" max="1029" width="9.42578125" style="1358" bestFit="1" customWidth="1"/>
    <col min="1030" max="1030" width="13.85546875" style="1358" customWidth="1"/>
    <col min="1031" max="1031" width="10" style="1358" bestFit="1" customWidth="1"/>
    <col min="1032" max="1032" width="4.85546875" style="1358" customWidth="1"/>
    <col min="1033" max="1033" width="20" style="1358" customWidth="1"/>
    <col min="1034" max="1034" width="19.7109375" style="1358" bestFit="1" customWidth="1"/>
    <col min="1035" max="1035" width="9.140625" style="1358"/>
    <col min="1036" max="1037" width="0" style="1358" hidden="1" customWidth="1"/>
    <col min="1038" max="1280" width="9.140625" style="1358"/>
    <col min="1281" max="1281" width="48.7109375" style="1358" customWidth="1"/>
    <col min="1282" max="1282" width="11.42578125" style="1358" customWidth="1"/>
    <col min="1283" max="1283" width="14.140625" style="1358" customWidth="1"/>
    <col min="1284" max="1284" width="12.5703125" style="1358" customWidth="1"/>
    <col min="1285" max="1285" width="9.42578125" style="1358" bestFit="1" customWidth="1"/>
    <col min="1286" max="1286" width="13.85546875" style="1358" customWidth="1"/>
    <col min="1287" max="1287" width="10" style="1358" bestFit="1" customWidth="1"/>
    <col min="1288" max="1288" width="4.85546875" style="1358" customWidth="1"/>
    <col min="1289" max="1289" width="20" style="1358" customWidth="1"/>
    <col min="1290" max="1290" width="19.7109375" style="1358" bestFit="1" customWidth="1"/>
    <col min="1291" max="1291" width="9.140625" style="1358"/>
    <col min="1292" max="1293" width="0" style="1358" hidden="1" customWidth="1"/>
    <col min="1294" max="1536" width="9.140625" style="1358"/>
    <col min="1537" max="1537" width="48.7109375" style="1358" customWidth="1"/>
    <col min="1538" max="1538" width="11.42578125" style="1358" customWidth="1"/>
    <col min="1539" max="1539" width="14.140625" style="1358" customWidth="1"/>
    <col min="1540" max="1540" width="12.5703125" style="1358" customWidth="1"/>
    <col min="1541" max="1541" width="9.42578125" style="1358" bestFit="1" customWidth="1"/>
    <col min="1542" max="1542" width="13.85546875" style="1358" customWidth="1"/>
    <col min="1543" max="1543" width="10" style="1358" bestFit="1" customWidth="1"/>
    <col min="1544" max="1544" width="4.85546875" style="1358" customWidth="1"/>
    <col min="1545" max="1545" width="20" style="1358" customWidth="1"/>
    <col min="1546" max="1546" width="19.7109375" style="1358" bestFit="1" customWidth="1"/>
    <col min="1547" max="1547" width="9.140625" style="1358"/>
    <col min="1548" max="1549" width="0" style="1358" hidden="1" customWidth="1"/>
    <col min="1550" max="1792" width="9.140625" style="1358"/>
    <col min="1793" max="1793" width="48.7109375" style="1358" customWidth="1"/>
    <col min="1794" max="1794" width="11.42578125" style="1358" customWidth="1"/>
    <col min="1795" max="1795" width="14.140625" style="1358" customWidth="1"/>
    <col min="1796" max="1796" width="12.5703125" style="1358" customWidth="1"/>
    <col min="1797" max="1797" width="9.42578125" style="1358" bestFit="1" customWidth="1"/>
    <col min="1798" max="1798" width="13.85546875" style="1358" customWidth="1"/>
    <col min="1799" max="1799" width="10" style="1358" bestFit="1" customWidth="1"/>
    <col min="1800" max="1800" width="4.85546875" style="1358" customWidth="1"/>
    <col min="1801" max="1801" width="20" style="1358" customWidth="1"/>
    <col min="1802" max="1802" width="19.7109375" style="1358" bestFit="1" customWidth="1"/>
    <col min="1803" max="1803" width="9.140625" style="1358"/>
    <col min="1804" max="1805" width="0" style="1358" hidden="1" customWidth="1"/>
    <col min="1806" max="2048" width="9.140625" style="1358"/>
    <col min="2049" max="2049" width="48.7109375" style="1358" customWidth="1"/>
    <col min="2050" max="2050" width="11.42578125" style="1358" customWidth="1"/>
    <col min="2051" max="2051" width="14.140625" style="1358" customWidth="1"/>
    <col min="2052" max="2052" width="12.5703125" style="1358" customWidth="1"/>
    <col min="2053" max="2053" width="9.42578125" style="1358" bestFit="1" customWidth="1"/>
    <col min="2054" max="2054" width="13.85546875" style="1358" customWidth="1"/>
    <col min="2055" max="2055" width="10" style="1358" bestFit="1" customWidth="1"/>
    <col min="2056" max="2056" width="4.85546875" style="1358" customWidth="1"/>
    <col min="2057" max="2057" width="20" style="1358" customWidth="1"/>
    <col min="2058" max="2058" width="19.7109375" style="1358" bestFit="1" customWidth="1"/>
    <col min="2059" max="2059" width="9.140625" style="1358"/>
    <col min="2060" max="2061" width="0" style="1358" hidden="1" customWidth="1"/>
    <col min="2062" max="2304" width="9.140625" style="1358"/>
    <col min="2305" max="2305" width="48.7109375" style="1358" customWidth="1"/>
    <col min="2306" max="2306" width="11.42578125" style="1358" customWidth="1"/>
    <col min="2307" max="2307" width="14.140625" style="1358" customWidth="1"/>
    <col min="2308" max="2308" width="12.5703125" style="1358" customWidth="1"/>
    <col min="2309" max="2309" width="9.42578125" style="1358" bestFit="1" customWidth="1"/>
    <col min="2310" max="2310" width="13.85546875" style="1358" customWidth="1"/>
    <col min="2311" max="2311" width="10" style="1358" bestFit="1" customWidth="1"/>
    <col min="2312" max="2312" width="4.85546875" style="1358" customWidth="1"/>
    <col min="2313" max="2313" width="20" style="1358" customWidth="1"/>
    <col min="2314" max="2314" width="19.7109375" style="1358" bestFit="1" customWidth="1"/>
    <col min="2315" max="2315" width="9.140625" style="1358"/>
    <col min="2316" max="2317" width="0" style="1358" hidden="1" customWidth="1"/>
    <col min="2318" max="2560" width="9.140625" style="1358"/>
    <col min="2561" max="2561" width="48.7109375" style="1358" customWidth="1"/>
    <col min="2562" max="2562" width="11.42578125" style="1358" customWidth="1"/>
    <col min="2563" max="2563" width="14.140625" style="1358" customWidth="1"/>
    <col min="2564" max="2564" width="12.5703125" style="1358" customWidth="1"/>
    <col min="2565" max="2565" width="9.42578125" style="1358" bestFit="1" customWidth="1"/>
    <col min="2566" max="2566" width="13.85546875" style="1358" customWidth="1"/>
    <col min="2567" max="2567" width="10" style="1358" bestFit="1" customWidth="1"/>
    <col min="2568" max="2568" width="4.85546875" style="1358" customWidth="1"/>
    <col min="2569" max="2569" width="20" style="1358" customWidth="1"/>
    <col min="2570" max="2570" width="19.7109375" style="1358" bestFit="1" customWidth="1"/>
    <col min="2571" max="2571" width="9.140625" style="1358"/>
    <col min="2572" max="2573" width="0" style="1358" hidden="1" customWidth="1"/>
    <col min="2574" max="2816" width="9.140625" style="1358"/>
    <col min="2817" max="2817" width="48.7109375" style="1358" customWidth="1"/>
    <col min="2818" max="2818" width="11.42578125" style="1358" customWidth="1"/>
    <col min="2819" max="2819" width="14.140625" style="1358" customWidth="1"/>
    <col min="2820" max="2820" width="12.5703125" style="1358" customWidth="1"/>
    <col min="2821" max="2821" width="9.42578125" style="1358" bestFit="1" customWidth="1"/>
    <col min="2822" max="2822" width="13.85546875" style="1358" customWidth="1"/>
    <col min="2823" max="2823" width="10" style="1358" bestFit="1" customWidth="1"/>
    <col min="2824" max="2824" width="4.85546875" style="1358" customWidth="1"/>
    <col min="2825" max="2825" width="20" style="1358" customWidth="1"/>
    <col min="2826" max="2826" width="19.7109375" style="1358" bestFit="1" customWidth="1"/>
    <col min="2827" max="2827" width="9.140625" style="1358"/>
    <col min="2828" max="2829" width="0" style="1358" hidden="1" customWidth="1"/>
    <col min="2830" max="3072" width="9.140625" style="1358"/>
    <col min="3073" max="3073" width="48.7109375" style="1358" customWidth="1"/>
    <col min="3074" max="3074" width="11.42578125" style="1358" customWidth="1"/>
    <col min="3075" max="3075" width="14.140625" style="1358" customWidth="1"/>
    <col min="3076" max="3076" width="12.5703125" style="1358" customWidth="1"/>
    <col min="3077" max="3077" width="9.42578125" style="1358" bestFit="1" customWidth="1"/>
    <col min="3078" max="3078" width="13.85546875" style="1358" customWidth="1"/>
    <col min="3079" max="3079" width="10" style="1358" bestFit="1" customWidth="1"/>
    <col min="3080" max="3080" width="4.85546875" style="1358" customWidth="1"/>
    <col min="3081" max="3081" width="20" style="1358" customWidth="1"/>
    <col min="3082" max="3082" width="19.7109375" style="1358" bestFit="1" customWidth="1"/>
    <col min="3083" max="3083" width="9.140625" style="1358"/>
    <col min="3084" max="3085" width="0" style="1358" hidden="1" customWidth="1"/>
    <col min="3086" max="3328" width="9.140625" style="1358"/>
    <col min="3329" max="3329" width="48.7109375" style="1358" customWidth="1"/>
    <col min="3330" max="3330" width="11.42578125" style="1358" customWidth="1"/>
    <col min="3331" max="3331" width="14.140625" style="1358" customWidth="1"/>
    <col min="3332" max="3332" width="12.5703125" style="1358" customWidth="1"/>
    <col min="3333" max="3333" width="9.42578125" style="1358" bestFit="1" customWidth="1"/>
    <col min="3334" max="3334" width="13.85546875" style="1358" customWidth="1"/>
    <col min="3335" max="3335" width="10" style="1358" bestFit="1" customWidth="1"/>
    <col min="3336" max="3336" width="4.85546875" style="1358" customWidth="1"/>
    <col min="3337" max="3337" width="20" style="1358" customWidth="1"/>
    <col min="3338" max="3338" width="19.7109375" style="1358" bestFit="1" customWidth="1"/>
    <col min="3339" max="3339" width="9.140625" style="1358"/>
    <col min="3340" max="3341" width="0" style="1358" hidden="1" customWidth="1"/>
    <col min="3342" max="3584" width="9.140625" style="1358"/>
    <col min="3585" max="3585" width="48.7109375" style="1358" customWidth="1"/>
    <col min="3586" max="3586" width="11.42578125" style="1358" customWidth="1"/>
    <col min="3587" max="3587" width="14.140625" style="1358" customWidth="1"/>
    <col min="3588" max="3588" width="12.5703125" style="1358" customWidth="1"/>
    <col min="3589" max="3589" width="9.42578125" style="1358" bestFit="1" customWidth="1"/>
    <col min="3590" max="3590" width="13.85546875" style="1358" customWidth="1"/>
    <col min="3591" max="3591" width="10" style="1358" bestFit="1" customWidth="1"/>
    <col min="3592" max="3592" width="4.85546875" style="1358" customWidth="1"/>
    <col min="3593" max="3593" width="20" style="1358" customWidth="1"/>
    <col min="3594" max="3594" width="19.7109375" style="1358" bestFit="1" customWidth="1"/>
    <col min="3595" max="3595" width="9.140625" style="1358"/>
    <col min="3596" max="3597" width="0" style="1358" hidden="1" customWidth="1"/>
    <col min="3598" max="3840" width="9.140625" style="1358"/>
    <col min="3841" max="3841" width="48.7109375" style="1358" customWidth="1"/>
    <col min="3842" max="3842" width="11.42578125" style="1358" customWidth="1"/>
    <col min="3843" max="3843" width="14.140625" style="1358" customWidth="1"/>
    <col min="3844" max="3844" width="12.5703125" style="1358" customWidth="1"/>
    <col min="3845" max="3845" width="9.42578125" style="1358" bestFit="1" customWidth="1"/>
    <col min="3846" max="3846" width="13.85546875" style="1358" customWidth="1"/>
    <col min="3847" max="3847" width="10" style="1358" bestFit="1" customWidth="1"/>
    <col min="3848" max="3848" width="4.85546875" style="1358" customWidth="1"/>
    <col min="3849" max="3849" width="20" style="1358" customWidth="1"/>
    <col min="3850" max="3850" width="19.7109375" style="1358" bestFit="1" customWidth="1"/>
    <col min="3851" max="3851" width="9.140625" style="1358"/>
    <col min="3852" max="3853" width="0" style="1358" hidden="1" customWidth="1"/>
    <col min="3854" max="4096" width="9.140625" style="1358"/>
    <col min="4097" max="4097" width="48.7109375" style="1358" customWidth="1"/>
    <col min="4098" max="4098" width="11.42578125" style="1358" customWidth="1"/>
    <col min="4099" max="4099" width="14.140625" style="1358" customWidth="1"/>
    <col min="4100" max="4100" width="12.5703125" style="1358" customWidth="1"/>
    <col min="4101" max="4101" width="9.42578125" style="1358" bestFit="1" customWidth="1"/>
    <col min="4102" max="4102" width="13.85546875" style="1358" customWidth="1"/>
    <col min="4103" max="4103" width="10" style="1358" bestFit="1" customWidth="1"/>
    <col min="4104" max="4104" width="4.85546875" style="1358" customWidth="1"/>
    <col min="4105" max="4105" width="20" style="1358" customWidth="1"/>
    <col min="4106" max="4106" width="19.7109375" style="1358" bestFit="1" customWidth="1"/>
    <col min="4107" max="4107" width="9.140625" style="1358"/>
    <col min="4108" max="4109" width="0" style="1358" hidden="1" customWidth="1"/>
    <col min="4110" max="4352" width="9.140625" style="1358"/>
    <col min="4353" max="4353" width="48.7109375" style="1358" customWidth="1"/>
    <col min="4354" max="4354" width="11.42578125" style="1358" customWidth="1"/>
    <col min="4355" max="4355" width="14.140625" style="1358" customWidth="1"/>
    <col min="4356" max="4356" width="12.5703125" style="1358" customWidth="1"/>
    <col min="4357" max="4357" width="9.42578125" style="1358" bestFit="1" customWidth="1"/>
    <col min="4358" max="4358" width="13.85546875" style="1358" customWidth="1"/>
    <col min="4359" max="4359" width="10" style="1358" bestFit="1" customWidth="1"/>
    <col min="4360" max="4360" width="4.85546875" style="1358" customWidth="1"/>
    <col min="4361" max="4361" width="20" style="1358" customWidth="1"/>
    <col min="4362" max="4362" width="19.7109375" style="1358" bestFit="1" customWidth="1"/>
    <col min="4363" max="4363" width="9.140625" style="1358"/>
    <col min="4364" max="4365" width="0" style="1358" hidden="1" customWidth="1"/>
    <col min="4366" max="4608" width="9.140625" style="1358"/>
    <col min="4609" max="4609" width="48.7109375" style="1358" customWidth="1"/>
    <col min="4610" max="4610" width="11.42578125" style="1358" customWidth="1"/>
    <col min="4611" max="4611" width="14.140625" style="1358" customWidth="1"/>
    <col min="4612" max="4612" width="12.5703125" style="1358" customWidth="1"/>
    <col min="4613" max="4613" width="9.42578125" style="1358" bestFit="1" customWidth="1"/>
    <col min="4614" max="4614" width="13.85546875" style="1358" customWidth="1"/>
    <col min="4615" max="4615" width="10" style="1358" bestFit="1" customWidth="1"/>
    <col min="4616" max="4616" width="4.85546875" style="1358" customWidth="1"/>
    <col min="4617" max="4617" width="20" style="1358" customWidth="1"/>
    <col min="4618" max="4618" width="19.7109375" style="1358" bestFit="1" customWidth="1"/>
    <col min="4619" max="4619" width="9.140625" style="1358"/>
    <col min="4620" max="4621" width="0" style="1358" hidden="1" customWidth="1"/>
    <col min="4622" max="4864" width="9.140625" style="1358"/>
    <col min="4865" max="4865" width="48.7109375" style="1358" customWidth="1"/>
    <col min="4866" max="4866" width="11.42578125" style="1358" customWidth="1"/>
    <col min="4867" max="4867" width="14.140625" style="1358" customWidth="1"/>
    <col min="4868" max="4868" width="12.5703125" style="1358" customWidth="1"/>
    <col min="4869" max="4869" width="9.42578125" style="1358" bestFit="1" customWidth="1"/>
    <col min="4870" max="4870" width="13.85546875" style="1358" customWidth="1"/>
    <col min="4871" max="4871" width="10" style="1358" bestFit="1" customWidth="1"/>
    <col min="4872" max="4872" width="4.85546875" style="1358" customWidth="1"/>
    <col min="4873" max="4873" width="20" style="1358" customWidth="1"/>
    <col min="4874" max="4874" width="19.7109375" style="1358" bestFit="1" customWidth="1"/>
    <col min="4875" max="4875" width="9.140625" style="1358"/>
    <col min="4876" max="4877" width="0" style="1358" hidden="1" customWidth="1"/>
    <col min="4878" max="5120" width="9.140625" style="1358"/>
    <col min="5121" max="5121" width="48.7109375" style="1358" customWidth="1"/>
    <col min="5122" max="5122" width="11.42578125" style="1358" customWidth="1"/>
    <col min="5123" max="5123" width="14.140625" style="1358" customWidth="1"/>
    <col min="5124" max="5124" width="12.5703125" style="1358" customWidth="1"/>
    <col min="5125" max="5125" width="9.42578125" style="1358" bestFit="1" customWidth="1"/>
    <col min="5126" max="5126" width="13.85546875" style="1358" customWidth="1"/>
    <col min="5127" max="5127" width="10" style="1358" bestFit="1" customWidth="1"/>
    <col min="5128" max="5128" width="4.85546875" style="1358" customWidth="1"/>
    <col min="5129" max="5129" width="20" style="1358" customWidth="1"/>
    <col min="5130" max="5130" width="19.7109375" style="1358" bestFit="1" customWidth="1"/>
    <col min="5131" max="5131" width="9.140625" style="1358"/>
    <col min="5132" max="5133" width="0" style="1358" hidden="1" customWidth="1"/>
    <col min="5134" max="5376" width="9.140625" style="1358"/>
    <col min="5377" max="5377" width="48.7109375" style="1358" customWidth="1"/>
    <col min="5378" max="5378" width="11.42578125" style="1358" customWidth="1"/>
    <col min="5379" max="5379" width="14.140625" style="1358" customWidth="1"/>
    <col min="5380" max="5380" width="12.5703125" style="1358" customWidth="1"/>
    <col min="5381" max="5381" width="9.42578125" style="1358" bestFit="1" customWidth="1"/>
    <col min="5382" max="5382" width="13.85546875" style="1358" customWidth="1"/>
    <col min="5383" max="5383" width="10" style="1358" bestFit="1" customWidth="1"/>
    <col min="5384" max="5384" width="4.85546875" style="1358" customWidth="1"/>
    <col min="5385" max="5385" width="20" style="1358" customWidth="1"/>
    <col min="5386" max="5386" width="19.7109375" style="1358" bestFit="1" customWidth="1"/>
    <col min="5387" max="5387" width="9.140625" style="1358"/>
    <col min="5388" max="5389" width="0" style="1358" hidden="1" customWidth="1"/>
    <col min="5390" max="5632" width="9.140625" style="1358"/>
    <col min="5633" max="5633" width="48.7109375" style="1358" customWidth="1"/>
    <col min="5634" max="5634" width="11.42578125" style="1358" customWidth="1"/>
    <col min="5635" max="5635" width="14.140625" style="1358" customWidth="1"/>
    <col min="5636" max="5636" width="12.5703125" style="1358" customWidth="1"/>
    <col min="5637" max="5637" width="9.42578125" style="1358" bestFit="1" customWidth="1"/>
    <col min="5638" max="5638" width="13.85546875" style="1358" customWidth="1"/>
    <col min="5639" max="5639" width="10" style="1358" bestFit="1" customWidth="1"/>
    <col min="5640" max="5640" width="4.85546875" style="1358" customWidth="1"/>
    <col min="5641" max="5641" width="20" style="1358" customWidth="1"/>
    <col min="5642" max="5642" width="19.7109375" style="1358" bestFit="1" customWidth="1"/>
    <col min="5643" max="5643" width="9.140625" style="1358"/>
    <col min="5644" max="5645" width="0" style="1358" hidden="1" customWidth="1"/>
    <col min="5646" max="5888" width="9.140625" style="1358"/>
    <col min="5889" max="5889" width="48.7109375" style="1358" customWidth="1"/>
    <col min="5890" max="5890" width="11.42578125" style="1358" customWidth="1"/>
    <col min="5891" max="5891" width="14.140625" style="1358" customWidth="1"/>
    <col min="5892" max="5892" width="12.5703125" style="1358" customWidth="1"/>
    <col min="5893" max="5893" width="9.42578125" style="1358" bestFit="1" customWidth="1"/>
    <col min="5894" max="5894" width="13.85546875" style="1358" customWidth="1"/>
    <col min="5895" max="5895" width="10" style="1358" bestFit="1" customWidth="1"/>
    <col min="5896" max="5896" width="4.85546875" style="1358" customWidth="1"/>
    <col min="5897" max="5897" width="20" style="1358" customWidth="1"/>
    <col min="5898" max="5898" width="19.7109375" style="1358" bestFit="1" customWidth="1"/>
    <col min="5899" max="5899" width="9.140625" style="1358"/>
    <col min="5900" max="5901" width="0" style="1358" hidden="1" customWidth="1"/>
    <col min="5902" max="6144" width="9.140625" style="1358"/>
    <col min="6145" max="6145" width="48.7109375" style="1358" customWidth="1"/>
    <col min="6146" max="6146" width="11.42578125" style="1358" customWidth="1"/>
    <col min="6147" max="6147" width="14.140625" style="1358" customWidth="1"/>
    <col min="6148" max="6148" width="12.5703125" style="1358" customWidth="1"/>
    <col min="6149" max="6149" width="9.42578125" style="1358" bestFit="1" customWidth="1"/>
    <col min="6150" max="6150" width="13.85546875" style="1358" customWidth="1"/>
    <col min="6151" max="6151" width="10" style="1358" bestFit="1" customWidth="1"/>
    <col min="6152" max="6152" width="4.85546875" style="1358" customWidth="1"/>
    <col min="6153" max="6153" width="20" style="1358" customWidth="1"/>
    <col min="6154" max="6154" width="19.7109375" style="1358" bestFit="1" customWidth="1"/>
    <col min="6155" max="6155" width="9.140625" style="1358"/>
    <col min="6156" max="6157" width="0" style="1358" hidden="1" customWidth="1"/>
    <col min="6158" max="6400" width="9.140625" style="1358"/>
    <col min="6401" max="6401" width="48.7109375" style="1358" customWidth="1"/>
    <col min="6402" max="6402" width="11.42578125" style="1358" customWidth="1"/>
    <col min="6403" max="6403" width="14.140625" style="1358" customWidth="1"/>
    <col min="6404" max="6404" width="12.5703125" style="1358" customWidth="1"/>
    <col min="6405" max="6405" width="9.42578125" style="1358" bestFit="1" customWidth="1"/>
    <col min="6406" max="6406" width="13.85546875" style="1358" customWidth="1"/>
    <col min="6407" max="6407" width="10" style="1358" bestFit="1" customWidth="1"/>
    <col min="6408" max="6408" width="4.85546875" style="1358" customWidth="1"/>
    <col min="6409" max="6409" width="20" style="1358" customWidth="1"/>
    <col min="6410" max="6410" width="19.7109375" style="1358" bestFit="1" customWidth="1"/>
    <col min="6411" max="6411" width="9.140625" style="1358"/>
    <col min="6412" max="6413" width="0" style="1358" hidden="1" customWidth="1"/>
    <col min="6414" max="6656" width="9.140625" style="1358"/>
    <col min="6657" max="6657" width="48.7109375" style="1358" customWidth="1"/>
    <col min="6658" max="6658" width="11.42578125" style="1358" customWidth="1"/>
    <col min="6659" max="6659" width="14.140625" style="1358" customWidth="1"/>
    <col min="6660" max="6660" width="12.5703125" style="1358" customWidth="1"/>
    <col min="6661" max="6661" width="9.42578125" style="1358" bestFit="1" customWidth="1"/>
    <col min="6662" max="6662" width="13.85546875" style="1358" customWidth="1"/>
    <col min="6663" max="6663" width="10" style="1358" bestFit="1" customWidth="1"/>
    <col min="6664" max="6664" width="4.85546875" style="1358" customWidth="1"/>
    <col min="6665" max="6665" width="20" style="1358" customWidth="1"/>
    <col min="6666" max="6666" width="19.7109375" style="1358" bestFit="1" customWidth="1"/>
    <col min="6667" max="6667" width="9.140625" style="1358"/>
    <col min="6668" max="6669" width="0" style="1358" hidden="1" customWidth="1"/>
    <col min="6670" max="6912" width="9.140625" style="1358"/>
    <col min="6913" max="6913" width="48.7109375" style="1358" customWidth="1"/>
    <col min="6914" max="6914" width="11.42578125" style="1358" customWidth="1"/>
    <col min="6915" max="6915" width="14.140625" style="1358" customWidth="1"/>
    <col min="6916" max="6916" width="12.5703125" style="1358" customWidth="1"/>
    <col min="6917" max="6917" width="9.42578125" style="1358" bestFit="1" customWidth="1"/>
    <col min="6918" max="6918" width="13.85546875" style="1358" customWidth="1"/>
    <col min="6919" max="6919" width="10" style="1358" bestFit="1" customWidth="1"/>
    <col min="6920" max="6920" width="4.85546875" style="1358" customWidth="1"/>
    <col min="6921" max="6921" width="20" style="1358" customWidth="1"/>
    <col min="6922" max="6922" width="19.7109375" style="1358" bestFit="1" customWidth="1"/>
    <col min="6923" max="6923" width="9.140625" style="1358"/>
    <col min="6924" max="6925" width="0" style="1358" hidden="1" customWidth="1"/>
    <col min="6926" max="7168" width="9.140625" style="1358"/>
    <col min="7169" max="7169" width="48.7109375" style="1358" customWidth="1"/>
    <col min="7170" max="7170" width="11.42578125" style="1358" customWidth="1"/>
    <col min="7171" max="7171" width="14.140625" style="1358" customWidth="1"/>
    <col min="7172" max="7172" width="12.5703125" style="1358" customWidth="1"/>
    <col min="7173" max="7173" width="9.42578125" style="1358" bestFit="1" customWidth="1"/>
    <col min="7174" max="7174" width="13.85546875" style="1358" customWidth="1"/>
    <col min="7175" max="7175" width="10" style="1358" bestFit="1" customWidth="1"/>
    <col min="7176" max="7176" width="4.85546875" style="1358" customWidth="1"/>
    <col min="7177" max="7177" width="20" style="1358" customWidth="1"/>
    <col min="7178" max="7178" width="19.7109375" style="1358" bestFit="1" customWidth="1"/>
    <col min="7179" max="7179" width="9.140625" style="1358"/>
    <col min="7180" max="7181" width="0" style="1358" hidden="1" customWidth="1"/>
    <col min="7182" max="7424" width="9.140625" style="1358"/>
    <col min="7425" max="7425" width="48.7109375" style="1358" customWidth="1"/>
    <col min="7426" max="7426" width="11.42578125" style="1358" customWidth="1"/>
    <col min="7427" max="7427" width="14.140625" style="1358" customWidth="1"/>
    <col min="7428" max="7428" width="12.5703125" style="1358" customWidth="1"/>
    <col min="7429" max="7429" width="9.42578125" style="1358" bestFit="1" customWidth="1"/>
    <col min="7430" max="7430" width="13.85546875" style="1358" customWidth="1"/>
    <col min="7431" max="7431" width="10" style="1358" bestFit="1" customWidth="1"/>
    <col min="7432" max="7432" width="4.85546875" style="1358" customWidth="1"/>
    <col min="7433" max="7433" width="20" style="1358" customWidth="1"/>
    <col min="7434" max="7434" width="19.7109375" style="1358" bestFit="1" customWidth="1"/>
    <col min="7435" max="7435" width="9.140625" style="1358"/>
    <col min="7436" max="7437" width="0" style="1358" hidden="1" customWidth="1"/>
    <col min="7438" max="7680" width="9.140625" style="1358"/>
    <col min="7681" max="7681" width="48.7109375" style="1358" customWidth="1"/>
    <col min="7682" max="7682" width="11.42578125" style="1358" customWidth="1"/>
    <col min="7683" max="7683" width="14.140625" style="1358" customWidth="1"/>
    <col min="7684" max="7684" width="12.5703125" style="1358" customWidth="1"/>
    <col min="7685" max="7685" width="9.42578125" style="1358" bestFit="1" customWidth="1"/>
    <col min="7686" max="7686" width="13.85546875" style="1358" customWidth="1"/>
    <col min="7687" max="7687" width="10" style="1358" bestFit="1" customWidth="1"/>
    <col min="7688" max="7688" width="4.85546875" style="1358" customWidth="1"/>
    <col min="7689" max="7689" width="20" style="1358" customWidth="1"/>
    <col min="7690" max="7690" width="19.7109375" style="1358" bestFit="1" customWidth="1"/>
    <col min="7691" max="7691" width="9.140625" style="1358"/>
    <col min="7692" max="7693" width="0" style="1358" hidden="1" customWidth="1"/>
    <col min="7694" max="7936" width="9.140625" style="1358"/>
    <col min="7937" max="7937" width="48.7109375" style="1358" customWidth="1"/>
    <col min="7938" max="7938" width="11.42578125" style="1358" customWidth="1"/>
    <col min="7939" max="7939" width="14.140625" style="1358" customWidth="1"/>
    <col min="7940" max="7940" width="12.5703125" style="1358" customWidth="1"/>
    <col min="7941" max="7941" width="9.42578125" style="1358" bestFit="1" customWidth="1"/>
    <col min="7942" max="7942" width="13.85546875" style="1358" customWidth="1"/>
    <col min="7943" max="7943" width="10" style="1358" bestFit="1" customWidth="1"/>
    <col min="7944" max="7944" width="4.85546875" style="1358" customWidth="1"/>
    <col min="7945" max="7945" width="20" style="1358" customWidth="1"/>
    <col min="7946" max="7946" width="19.7109375" style="1358" bestFit="1" customWidth="1"/>
    <col min="7947" max="7947" width="9.140625" style="1358"/>
    <col min="7948" max="7949" width="0" style="1358" hidden="1" customWidth="1"/>
    <col min="7950" max="8192" width="9.140625" style="1358"/>
    <col min="8193" max="8193" width="48.7109375" style="1358" customWidth="1"/>
    <col min="8194" max="8194" width="11.42578125" style="1358" customWidth="1"/>
    <col min="8195" max="8195" width="14.140625" style="1358" customWidth="1"/>
    <col min="8196" max="8196" width="12.5703125" style="1358" customWidth="1"/>
    <col min="8197" max="8197" width="9.42578125" style="1358" bestFit="1" customWidth="1"/>
    <col min="8198" max="8198" width="13.85546875" style="1358" customWidth="1"/>
    <col min="8199" max="8199" width="10" style="1358" bestFit="1" customWidth="1"/>
    <col min="8200" max="8200" width="4.85546875" style="1358" customWidth="1"/>
    <col min="8201" max="8201" width="20" style="1358" customWidth="1"/>
    <col min="8202" max="8202" width="19.7109375" style="1358" bestFit="1" customWidth="1"/>
    <col min="8203" max="8203" width="9.140625" style="1358"/>
    <col min="8204" max="8205" width="0" style="1358" hidden="1" customWidth="1"/>
    <col min="8206" max="8448" width="9.140625" style="1358"/>
    <col min="8449" max="8449" width="48.7109375" style="1358" customWidth="1"/>
    <col min="8450" max="8450" width="11.42578125" style="1358" customWidth="1"/>
    <col min="8451" max="8451" width="14.140625" style="1358" customWidth="1"/>
    <col min="8452" max="8452" width="12.5703125" style="1358" customWidth="1"/>
    <col min="8453" max="8453" width="9.42578125" style="1358" bestFit="1" customWidth="1"/>
    <col min="8454" max="8454" width="13.85546875" style="1358" customWidth="1"/>
    <col min="8455" max="8455" width="10" style="1358" bestFit="1" customWidth="1"/>
    <col min="8456" max="8456" width="4.85546875" style="1358" customWidth="1"/>
    <col min="8457" max="8457" width="20" style="1358" customWidth="1"/>
    <col min="8458" max="8458" width="19.7109375" style="1358" bestFit="1" customWidth="1"/>
    <col min="8459" max="8459" width="9.140625" style="1358"/>
    <col min="8460" max="8461" width="0" style="1358" hidden="1" customWidth="1"/>
    <col min="8462" max="8704" width="9.140625" style="1358"/>
    <col min="8705" max="8705" width="48.7109375" style="1358" customWidth="1"/>
    <col min="8706" max="8706" width="11.42578125" style="1358" customWidth="1"/>
    <col min="8707" max="8707" width="14.140625" style="1358" customWidth="1"/>
    <col min="8708" max="8708" width="12.5703125" style="1358" customWidth="1"/>
    <col min="8709" max="8709" width="9.42578125" style="1358" bestFit="1" customWidth="1"/>
    <col min="8710" max="8710" width="13.85546875" style="1358" customWidth="1"/>
    <col min="8711" max="8711" width="10" style="1358" bestFit="1" customWidth="1"/>
    <col min="8712" max="8712" width="4.85546875" style="1358" customWidth="1"/>
    <col min="8713" max="8713" width="20" style="1358" customWidth="1"/>
    <col min="8714" max="8714" width="19.7109375" style="1358" bestFit="1" customWidth="1"/>
    <col min="8715" max="8715" width="9.140625" style="1358"/>
    <col min="8716" max="8717" width="0" style="1358" hidden="1" customWidth="1"/>
    <col min="8718" max="8960" width="9.140625" style="1358"/>
    <col min="8961" max="8961" width="48.7109375" style="1358" customWidth="1"/>
    <col min="8962" max="8962" width="11.42578125" style="1358" customWidth="1"/>
    <col min="8963" max="8963" width="14.140625" style="1358" customWidth="1"/>
    <col min="8964" max="8964" width="12.5703125" style="1358" customWidth="1"/>
    <col min="8965" max="8965" width="9.42578125" style="1358" bestFit="1" customWidth="1"/>
    <col min="8966" max="8966" width="13.85546875" style="1358" customWidth="1"/>
    <col min="8967" max="8967" width="10" style="1358" bestFit="1" customWidth="1"/>
    <col min="8968" max="8968" width="4.85546875" style="1358" customWidth="1"/>
    <col min="8969" max="8969" width="20" style="1358" customWidth="1"/>
    <col min="8970" max="8970" width="19.7109375" style="1358" bestFit="1" customWidth="1"/>
    <col min="8971" max="8971" width="9.140625" style="1358"/>
    <col min="8972" max="8973" width="0" style="1358" hidden="1" customWidth="1"/>
    <col min="8974" max="9216" width="9.140625" style="1358"/>
    <col min="9217" max="9217" width="48.7109375" style="1358" customWidth="1"/>
    <col min="9218" max="9218" width="11.42578125" style="1358" customWidth="1"/>
    <col min="9219" max="9219" width="14.140625" style="1358" customWidth="1"/>
    <col min="9220" max="9220" width="12.5703125" style="1358" customWidth="1"/>
    <col min="9221" max="9221" width="9.42578125" style="1358" bestFit="1" customWidth="1"/>
    <col min="9222" max="9222" width="13.85546875" style="1358" customWidth="1"/>
    <col min="9223" max="9223" width="10" style="1358" bestFit="1" customWidth="1"/>
    <col min="9224" max="9224" width="4.85546875" style="1358" customWidth="1"/>
    <col min="9225" max="9225" width="20" style="1358" customWidth="1"/>
    <col min="9226" max="9226" width="19.7109375" style="1358" bestFit="1" customWidth="1"/>
    <col min="9227" max="9227" width="9.140625" style="1358"/>
    <col min="9228" max="9229" width="0" style="1358" hidden="1" customWidth="1"/>
    <col min="9230" max="9472" width="9.140625" style="1358"/>
    <col min="9473" max="9473" width="48.7109375" style="1358" customWidth="1"/>
    <col min="9474" max="9474" width="11.42578125" style="1358" customWidth="1"/>
    <col min="9475" max="9475" width="14.140625" style="1358" customWidth="1"/>
    <col min="9476" max="9476" width="12.5703125" style="1358" customWidth="1"/>
    <col min="9477" max="9477" width="9.42578125" style="1358" bestFit="1" customWidth="1"/>
    <col min="9478" max="9478" width="13.85546875" style="1358" customWidth="1"/>
    <col min="9479" max="9479" width="10" style="1358" bestFit="1" customWidth="1"/>
    <col min="9480" max="9480" width="4.85546875" style="1358" customWidth="1"/>
    <col min="9481" max="9481" width="20" style="1358" customWidth="1"/>
    <col min="9482" max="9482" width="19.7109375" style="1358" bestFit="1" customWidth="1"/>
    <col min="9483" max="9483" width="9.140625" style="1358"/>
    <col min="9484" max="9485" width="0" style="1358" hidden="1" customWidth="1"/>
    <col min="9486" max="9728" width="9.140625" style="1358"/>
    <col min="9729" max="9729" width="48.7109375" style="1358" customWidth="1"/>
    <col min="9730" max="9730" width="11.42578125" style="1358" customWidth="1"/>
    <col min="9731" max="9731" width="14.140625" style="1358" customWidth="1"/>
    <col min="9732" max="9732" width="12.5703125" style="1358" customWidth="1"/>
    <col min="9733" max="9733" width="9.42578125" style="1358" bestFit="1" customWidth="1"/>
    <col min="9734" max="9734" width="13.85546875" style="1358" customWidth="1"/>
    <col min="9735" max="9735" width="10" style="1358" bestFit="1" customWidth="1"/>
    <col min="9736" max="9736" width="4.85546875" style="1358" customWidth="1"/>
    <col min="9737" max="9737" width="20" style="1358" customWidth="1"/>
    <col min="9738" max="9738" width="19.7109375" style="1358" bestFit="1" customWidth="1"/>
    <col min="9739" max="9739" width="9.140625" style="1358"/>
    <col min="9740" max="9741" width="0" style="1358" hidden="1" customWidth="1"/>
    <col min="9742" max="9984" width="9.140625" style="1358"/>
    <col min="9985" max="9985" width="48.7109375" style="1358" customWidth="1"/>
    <col min="9986" max="9986" width="11.42578125" style="1358" customWidth="1"/>
    <col min="9987" max="9987" width="14.140625" style="1358" customWidth="1"/>
    <col min="9988" max="9988" width="12.5703125" style="1358" customWidth="1"/>
    <col min="9989" max="9989" width="9.42578125" style="1358" bestFit="1" customWidth="1"/>
    <col min="9990" max="9990" width="13.85546875" style="1358" customWidth="1"/>
    <col min="9991" max="9991" width="10" style="1358" bestFit="1" customWidth="1"/>
    <col min="9992" max="9992" width="4.85546875" style="1358" customWidth="1"/>
    <col min="9993" max="9993" width="20" style="1358" customWidth="1"/>
    <col min="9994" max="9994" width="19.7109375" style="1358" bestFit="1" customWidth="1"/>
    <col min="9995" max="9995" width="9.140625" style="1358"/>
    <col min="9996" max="9997" width="0" style="1358" hidden="1" customWidth="1"/>
    <col min="9998" max="10240" width="9.140625" style="1358"/>
    <col min="10241" max="10241" width="48.7109375" style="1358" customWidth="1"/>
    <col min="10242" max="10242" width="11.42578125" style="1358" customWidth="1"/>
    <col min="10243" max="10243" width="14.140625" style="1358" customWidth="1"/>
    <col min="10244" max="10244" width="12.5703125" style="1358" customWidth="1"/>
    <col min="10245" max="10245" width="9.42578125" style="1358" bestFit="1" customWidth="1"/>
    <col min="10246" max="10246" width="13.85546875" style="1358" customWidth="1"/>
    <col min="10247" max="10247" width="10" style="1358" bestFit="1" customWidth="1"/>
    <col min="10248" max="10248" width="4.85546875" style="1358" customWidth="1"/>
    <col min="10249" max="10249" width="20" style="1358" customWidth="1"/>
    <col min="10250" max="10250" width="19.7109375" style="1358" bestFit="1" customWidth="1"/>
    <col min="10251" max="10251" width="9.140625" style="1358"/>
    <col min="10252" max="10253" width="0" style="1358" hidden="1" customWidth="1"/>
    <col min="10254" max="10496" width="9.140625" style="1358"/>
    <col min="10497" max="10497" width="48.7109375" style="1358" customWidth="1"/>
    <col min="10498" max="10498" width="11.42578125" style="1358" customWidth="1"/>
    <col min="10499" max="10499" width="14.140625" style="1358" customWidth="1"/>
    <col min="10500" max="10500" width="12.5703125" style="1358" customWidth="1"/>
    <col min="10501" max="10501" width="9.42578125" style="1358" bestFit="1" customWidth="1"/>
    <col min="10502" max="10502" width="13.85546875" style="1358" customWidth="1"/>
    <col min="10503" max="10503" width="10" style="1358" bestFit="1" customWidth="1"/>
    <col min="10504" max="10504" width="4.85546875" style="1358" customWidth="1"/>
    <col min="10505" max="10505" width="20" style="1358" customWidth="1"/>
    <col min="10506" max="10506" width="19.7109375" style="1358" bestFit="1" customWidth="1"/>
    <col min="10507" max="10507" width="9.140625" style="1358"/>
    <col min="10508" max="10509" width="0" style="1358" hidden="1" customWidth="1"/>
    <col min="10510" max="10752" width="9.140625" style="1358"/>
    <col min="10753" max="10753" width="48.7109375" style="1358" customWidth="1"/>
    <col min="10754" max="10754" width="11.42578125" style="1358" customWidth="1"/>
    <col min="10755" max="10755" width="14.140625" style="1358" customWidth="1"/>
    <col min="10756" max="10756" width="12.5703125" style="1358" customWidth="1"/>
    <col min="10757" max="10757" width="9.42578125" style="1358" bestFit="1" customWidth="1"/>
    <col min="10758" max="10758" width="13.85546875" style="1358" customWidth="1"/>
    <col min="10759" max="10759" width="10" style="1358" bestFit="1" customWidth="1"/>
    <col min="10760" max="10760" width="4.85546875" style="1358" customWidth="1"/>
    <col min="10761" max="10761" width="20" style="1358" customWidth="1"/>
    <col min="10762" max="10762" width="19.7109375" style="1358" bestFit="1" customWidth="1"/>
    <col min="10763" max="10763" width="9.140625" style="1358"/>
    <col min="10764" max="10765" width="0" style="1358" hidden="1" customWidth="1"/>
    <col min="10766" max="11008" width="9.140625" style="1358"/>
    <col min="11009" max="11009" width="48.7109375" style="1358" customWidth="1"/>
    <col min="11010" max="11010" width="11.42578125" style="1358" customWidth="1"/>
    <col min="11011" max="11011" width="14.140625" style="1358" customWidth="1"/>
    <col min="11012" max="11012" width="12.5703125" style="1358" customWidth="1"/>
    <col min="11013" max="11013" width="9.42578125" style="1358" bestFit="1" customWidth="1"/>
    <col min="11014" max="11014" width="13.85546875" style="1358" customWidth="1"/>
    <col min="11015" max="11015" width="10" style="1358" bestFit="1" customWidth="1"/>
    <col min="11016" max="11016" width="4.85546875" style="1358" customWidth="1"/>
    <col min="11017" max="11017" width="20" style="1358" customWidth="1"/>
    <col min="11018" max="11018" width="19.7109375" style="1358" bestFit="1" customWidth="1"/>
    <col min="11019" max="11019" width="9.140625" style="1358"/>
    <col min="11020" max="11021" width="0" style="1358" hidden="1" customWidth="1"/>
    <col min="11022" max="11264" width="9.140625" style="1358"/>
    <col min="11265" max="11265" width="48.7109375" style="1358" customWidth="1"/>
    <col min="11266" max="11266" width="11.42578125" style="1358" customWidth="1"/>
    <col min="11267" max="11267" width="14.140625" style="1358" customWidth="1"/>
    <col min="11268" max="11268" width="12.5703125" style="1358" customWidth="1"/>
    <col min="11269" max="11269" width="9.42578125" style="1358" bestFit="1" customWidth="1"/>
    <col min="11270" max="11270" width="13.85546875" style="1358" customWidth="1"/>
    <col min="11271" max="11271" width="10" style="1358" bestFit="1" customWidth="1"/>
    <col min="11272" max="11272" width="4.85546875" style="1358" customWidth="1"/>
    <col min="11273" max="11273" width="20" style="1358" customWidth="1"/>
    <col min="11274" max="11274" width="19.7109375" style="1358" bestFit="1" customWidth="1"/>
    <col min="11275" max="11275" width="9.140625" style="1358"/>
    <col min="11276" max="11277" width="0" style="1358" hidden="1" customWidth="1"/>
    <col min="11278" max="11520" width="9.140625" style="1358"/>
    <col min="11521" max="11521" width="48.7109375" style="1358" customWidth="1"/>
    <col min="11522" max="11522" width="11.42578125" style="1358" customWidth="1"/>
    <col min="11523" max="11523" width="14.140625" style="1358" customWidth="1"/>
    <col min="11524" max="11524" width="12.5703125" style="1358" customWidth="1"/>
    <col min="11525" max="11525" width="9.42578125" style="1358" bestFit="1" customWidth="1"/>
    <col min="11526" max="11526" width="13.85546875" style="1358" customWidth="1"/>
    <col min="11527" max="11527" width="10" style="1358" bestFit="1" customWidth="1"/>
    <col min="11528" max="11528" width="4.85546875" style="1358" customWidth="1"/>
    <col min="11529" max="11529" width="20" style="1358" customWidth="1"/>
    <col min="11530" max="11530" width="19.7109375" style="1358" bestFit="1" customWidth="1"/>
    <col min="11531" max="11531" width="9.140625" style="1358"/>
    <col min="11532" max="11533" width="0" style="1358" hidden="1" customWidth="1"/>
    <col min="11534" max="11776" width="9.140625" style="1358"/>
    <col min="11777" max="11777" width="48.7109375" style="1358" customWidth="1"/>
    <col min="11778" max="11778" width="11.42578125" style="1358" customWidth="1"/>
    <col min="11779" max="11779" width="14.140625" style="1358" customWidth="1"/>
    <col min="11780" max="11780" width="12.5703125" style="1358" customWidth="1"/>
    <col min="11781" max="11781" width="9.42578125" style="1358" bestFit="1" customWidth="1"/>
    <col min="11782" max="11782" width="13.85546875" style="1358" customWidth="1"/>
    <col min="11783" max="11783" width="10" style="1358" bestFit="1" customWidth="1"/>
    <col min="11784" max="11784" width="4.85546875" style="1358" customWidth="1"/>
    <col min="11785" max="11785" width="20" style="1358" customWidth="1"/>
    <col min="11786" max="11786" width="19.7109375" style="1358" bestFit="1" customWidth="1"/>
    <col min="11787" max="11787" width="9.140625" style="1358"/>
    <col min="11788" max="11789" width="0" style="1358" hidden="1" customWidth="1"/>
    <col min="11790" max="12032" width="9.140625" style="1358"/>
    <col min="12033" max="12033" width="48.7109375" style="1358" customWidth="1"/>
    <col min="12034" max="12034" width="11.42578125" style="1358" customWidth="1"/>
    <col min="12035" max="12035" width="14.140625" style="1358" customWidth="1"/>
    <col min="12036" max="12036" width="12.5703125" style="1358" customWidth="1"/>
    <col min="12037" max="12037" width="9.42578125" style="1358" bestFit="1" customWidth="1"/>
    <col min="12038" max="12038" width="13.85546875" style="1358" customWidth="1"/>
    <col min="12039" max="12039" width="10" style="1358" bestFit="1" customWidth="1"/>
    <col min="12040" max="12040" width="4.85546875" style="1358" customWidth="1"/>
    <col min="12041" max="12041" width="20" style="1358" customWidth="1"/>
    <col min="12042" max="12042" width="19.7109375" style="1358" bestFit="1" customWidth="1"/>
    <col min="12043" max="12043" width="9.140625" style="1358"/>
    <col min="12044" max="12045" width="0" style="1358" hidden="1" customWidth="1"/>
    <col min="12046" max="12288" width="9.140625" style="1358"/>
    <col min="12289" max="12289" width="48.7109375" style="1358" customWidth="1"/>
    <col min="12290" max="12290" width="11.42578125" style="1358" customWidth="1"/>
    <col min="12291" max="12291" width="14.140625" style="1358" customWidth="1"/>
    <col min="12292" max="12292" width="12.5703125" style="1358" customWidth="1"/>
    <col min="12293" max="12293" width="9.42578125" style="1358" bestFit="1" customWidth="1"/>
    <col min="12294" max="12294" width="13.85546875" style="1358" customWidth="1"/>
    <col min="12295" max="12295" width="10" style="1358" bestFit="1" customWidth="1"/>
    <col min="12296" max="12296" width="4.85546875" style="1358" customWidth="1"/>
    <col min="12297" max="12297" width="20" style="1358" customWidth="1"/>
    <col min="12298" max="12298" width="19.7109375" style="1358" bestFit="1" customWidth="1"/>
    <col min="12299" max="12299" width="9.140625" style="1358"/>
    <col min="12300" max="12301" width="0" style="1358" hidden="1" customWidth="1"/>
    <col min="12302" max="12544" width="9.140625" style="1358"/>
    <col min="12545" max="12545" width="48.7109375" style="1358" customWidth="1"/>
    <col min="12546" max="12546" width="11.42578125" style="1358" customWidth="1"/>
    <col min="12547" max="12547" width="14.140625" style="1358" customWidth="1"/>
    <col min="12548" max="12548" width="12.5703125" style="1358" customWidth="1"/>
    <col min="12549" max="12549" width="9.42578125" style="1358" bestFit="1" customWidth="1"/>
    <col min="12550" max="12550" width="13.85546875" style="1358" customWidth="1"/>
    <col min="12551" max="12551" width="10" style="1358" bestFit="1" customWidth="1"/>
    <col min="12552" max="12552" width="4.85546875" style="1358" customWidth="1"/>
    <col min="12553" max="12553" width="20" style="1358" customWidth="1"/>
    <col min="12554" max="12554" width="19.7109375" style="1358" bestFit="1" customWidth="1"/>
    <col min="12555" max="12555" width="9.140625" style="1358"/>
    <col min="12556" max="12557" width="0" style="1358" hidden="1" customWidth="1"/>
    <col min="12558" max="12800" width="9.140625" style="1358"/>
    <col min="12801" max="12801" width="48.7109375" style="1358" customWidth="1"/>
    <col min="12802" max="12802" width="11.42578125" style="1358" customWidth="1"/>
    <col min="12803" max="12803" width="14.140625" style="1358" customWidth="1"/>
    <col min="12804" max="12804" width="12.5703125" style="1358" customWidth="1"/>
    <col min="12805" max="12805" width="9.42578125" style="1358" bestFit="1" customWidth="1"/>
    <col min="12806" max="12806" width="13.85546875" style="1358" customWidth="1"/>
    <col min="12807" max="12807" width="10" style="1358" bestFit="1" customWidth="1"/>
    <col min="12808" max="12808" width="4.85546875" style="1358" customWidth="1"/>
    <col min="12809" max="12809" width="20" style="1358" customWidth="1"/>
    <col min="12810" max="12810" width="19.7109375" style="1358" bestFit="1" customWidth="1"/>
    <col min="12811" max="12811" width="9.140625" style="1358"/>
    <col min="12812" max="12813" width="0" style="1358" hidden="1" customWidth="1"/>
    <col min="12814" max="13056" width="9.140625" style="1358"/>
    <col min="13057" max="13057" width="48.7109375" style="1358" customWidth="1"/>
    <col min="13058" max="13058" width="11.42578125" style="1358" customWidth="1"/>
    <col min="13059" max="13059" width="14.140625" style="1358" customWidth="1"/>
    <col min="13060" max="13060" width="12.5703125" style="1358" customWidth="1"/>
    <col min="13061" max="13061" width="9.42578125" style="1358" bestFit="1" customWidth="1"/>
    <col min="13062" max="13062" width="13.85546875" style="1358" customWidth="1"/>
    <col min="13063" max="13063" width="10" style="1358" bestFit="1" customWidth="1"/>
    <col min="13064" max="13064" width="4.85546875" style="1358" customWidth="1"/>
    <col min="13065" max="13065" width="20" style="1358" customWidth="1"/>
    <col min="13066" max="13066" width="19.7109375" style="1358" bestFit="1" customWidth="1"/>
    <col min="13067" max="13067" width="9.140625" style="1358"/>
    <col min="13068" max="13069" width="0" style="1358" hidden="1" customWidth="1"/>
    <col min="13070" max="13312" width="9.140625" style="1358"/>
    <col min="13313" max="13313" width="48.7109375" style="1358" customWidth="1"/>
    <col min="13314" max="13314" width="11.42578125" style="1358" customWidth="1"/>
    <col min="13315" max="13315" width="14.140625" style="1358" customWidth="1"/>
    <col min="13316" max="13316" width="12.5703125" style="1358" customWidth="1"/>
    <col min="13317" max="13317" width="9.42578125" style="1358" bestFit="1" customWidth="1"/>
    <col min="13318" max="13318" width="13.85546875" style="1358" customWidth="1"/>
    <col min="13319" max="13319" width="10" style="1358" bestFit="1" customWidth="1"/>
    <col min="13320" max="13320" width="4.85546875" style="1358" customWidth="1"/>
    <col min="13321" max="13321" width="20" style="1358" customWidth="1"/>
    <col min="13322" max="13322" width="19.7109375" style="1358" bestFit="1" customWidth="1"/>
    <col min="13323" max="13323" width="9.140625" style="1358"/>
    <col min="13324" max="13325" width="0" style="1358" hidden="1" customWidth="1"/>
    <col min="13326" max="13568" width="9.140625" style="1358"/>
    <col min="13569" max="13569" width="48.7109375" style="1358" customWidth="1"/>
    <col min="13570" max="13570" width="11.42578125" style="1358" customWidth="1"/>
    <col min="13571" max="13571" width="14.140625" style="1358" customWidth="1"/>
    <col min="13572" max="13572" width="12.5703125" style="1358" customWidth="1"/>
    <col min="13573" max="13573" width="9.42578125" style="1358" bestFit="1" customWidth="1"/>
    <col min="13574" max="13574" width="13.85546875" style="1358" customWidth="1"/>
    <col min="13575" max="13575" width="10" style="1358" bestFit="1" customWidth="1"/>
    <col min="13576" max="13576" width="4.85546875" style="1358" customWidth="1"/>
    <col min="13577" max="13577" width="20" style="1358" customWidth="1"/>
    <col min="13578" max="13578" width="19.7109375" style="1358" bestFit="1" customWidth="1"/>
    <col min="13579" max="13579" width="9.140625" style="1358"/>
    <col min="13580" max="13581" width="0" style="1358" hidden="1" customWidth="1"/>
    <col min="13582" max="13824" width="9.140625" style="1358"/>
    <col min="13825" max="13825" width="48.7109375" style="1358" customWidth="1"/>
    <col min="13826" max="13826" width="11.42578125" style="1358" customWidth="1"/>
    <col min="13827" max="13827" width="14.140625" style="1358" customWidth="1"/>
    <col min="13828" max="13828" width="12.5703125" style="1358" customWidth="1"/>
    <col min="13829" max="13829" width="9.42578125" style="1358" bestFit="1" customWidth="1"/>
    <col min="13830" max="13830" width="13.85546875" style="1358" customWidth="1"/>
    <col min="13831" max="13831" width="10" style="1358" bestFit="1" customWidth="1"/>
    <col min="13832" max="13832" width="4.85546875" style="1358" customWidth="1"/>
    <col min="13833" max="13833" width="20" style="1358" customWidth="1"/>
    <col min="13834" max="13834" width="19.7109375" style="1358" bestFit="1" customWidth="1"/>
    <col min="13835" max="13835" width="9.140625" style="1358"/>
    <col min="13836" max="13837" width="0" style="1358" hidden="1" customWidth="1"/>
    <col min="13838" max="14080" width="9.140625" style="1358"/>
    <col min="14081" max="14081" width="48.7109375" style="1358" customWidth="1"/>
    <col min="14082" max="14082" width="11.42578125" style="1358" customWidth="1"/>
    <col min="14083" max="14083" width="14.140625" style="1358" customWidth="1"/>
    <col min="14084" max="14084" width="12.5703125" style="1358" customWidth="1"/>
    <col min="14085" max="14085" width="9.42578125" style="1358" bestFit="1" customWidth="1"/>
    <col min="14086" max="14086" width="13.85546875" style="1358" customWidth="1"/>
    <col min="14087" max="14087" width="10" style="1358" bestFit="1" customWidth="1"/>
    <col min="14088" max="14088" width="4.85546875" style="1358" customWidth="1"/>
    <col min="14089" max="14089" width="20" style="1358" customWidth="1"/>
    <col min="14090" max="14090" width="19.7109375" style="1358" bestFit="1" customWidth="1"/>
    <col min="14091" max="14091" width="9.140625" style="1358"/>
    <col min="14092" max="14093" width="0" style="1358" hidden="1" customWidth="1"/>
    <col min="14094" max="14336" width="9.140625" style="1358"/>
    <col min="14337" max="14337" width="48.7109375" style="1358" customWidth="1"/>
    <col min="14338" max="14338" width="11.42578125" style="1358" customWidth="1"/>
    <col min="14339" max="14339" width="14.140625" style="1358" customWidth="1"/>
    <col min="14340" max="14340" width="12.5703125" style="1358" customWidth="1"/>
    <col min="14341" max="14341" width="9.42578125" style="1358" bestFit="1" customWidth="1"/>
    <col min="14342" max="14342" width="13.85546875" style="1358" customWidth="1"/>
    <col min="14343" max="14343" width="10" style="1358" bestFit="1" customWidth="1"/>
    <col min="14344" max="14344" width="4.85546875" style="1358" customWidth="1"/>
    <col min="14345" max="14345" width="20" style="1358" customWidth="1"/>
    <col min="14346" max="14346" width="19.7109375" style="1358" bestFit="1" customWidth="1"/>
    <col min="14347" max="14347" width="9.140625" style="1358"/>
    <col min="14348" max="14349" width="0" style="1358" hidden="1" customWidth="1"/>
    <col min="14350" max="14592" width="9.140625" style="1358"/>
    <col min="14593" max="14593" width="48.7109375" style="1358" customWidth="1"/>
    <col min="14594" max="14594" width="11.42578125" style="1358" customWidth="1"/>
    <col min="14595" max="14595" width="14.140625" style="1358" customWidth="1"/>
    <col min="14596" max="14596" width="12.5703125" style="1358" customWidth="1"/>
    <col min="14597" max="14597" width="9.42578125" style="1358" bestFit="1" customWidth="1"/>
    <col min="14598" max="14598" width="13.85546875" style="1358" customWidth="1"/>
    <col min="14599" max="14599" width="10" style="1358" bestFit="1" customWidth="1"/>
    <col min="14600" max="14600" width="4.85546875" style="1358" customWidth="1"/>
    <col min="14601" max="14601" width="20" style="1358" customWidth="1"/>
    <col min="14602" max="14602" width="19.7109375" style="1358" bestFit="1" customWidth="1"/>
    <col min="14603" max="14603" width="9.140625" style="1358"/>
    <col min="14604" max="14605" width="0" style="1358" hidden="1" customWidth="1"/>
    <col min="14606" max="14848" width="9.140625" style="1358"/>
    <col min="14849" max="14849" width="48.7109375" style="1358" customWidth="1"/>
    <col min="14850" max="14850" width="11.42578125" style="1358" customWidth="1"/>
    <col min="14851" max="14851" width="14.140625" style="1358" customWidth="1"/>
    <col min="14852" max="14852" width="12.5703125" style="1358" customWidth="1"/>
    <col min="14853" max="14853" width="9.42578125" style="1358" bestFit="1" customWidth="1"/>
    <col min="14854" max="14854" width="13.85546875" style="1358" customWidth="1"/>
    <col min="14855" max="14855" width="10" style="1358" bestFit="1" customWidth="1"/>
    <col min="14856" max="14856" width="4.85546875" style="1358" customWidth="1"/>
    <col min="14857" max="14857" width="20" style="1358" customWidth="1"/>
    <col min="14858" max="14858" width="19.7109375" style="1358" bestFit="1" customWidth="1"/>
    <col min="14859" max="14859" width="9.140625" style="1358"/>
    <col min="14860" max="14861" width="0" style="1358" hidden="1" customWidth="1"/>
    <col min="14862" max="15104" width="9.140625" style="1358"/>
    <col min="15105" max="15105" width="48.7109375" style="1358" customWidth="1"/>
    <col min="15106" max="15106" width="11.42578125" style="1358" customWidth="1"/>
    <col min="15107" max="15107" width="14.140625" style="1358" customWidth="1"/>
    <col min="15108" max="15108" width="12.5703125" style="1358" customWidth="1"/>
    <col min="15109" max="15109" width="9.42578125" style="1358" bestFit="1" customWidth="1"/>
    <col min="15110" max="15110" width="13.85546875" style="1358" customWidth="1"/>
    <col min="15111" max="15111" width="10" style="1358" bestFit="1" customWidth="1"/>
    <col min="15112" max="15112" width="4.85546875" style="1358" customWidth="1"/>
    <col min="15113" max="15113" width="20" style="1358" customWidth="1"/>
    <col min="15114" max="15114" width="19.7109375" style="1358" bestFit="1" customWidth="1"/>
    <col min="15115" max="15115" width="9.140625" style="1358"/>
    <col min="15116" max="15117" width="0" style="1358" hidden="1" customWidth="1"/>
    <col min="15118" max="15360" width="9.140625" style="1358"/>
    <col min="15361" max="15361" width="48.7109375" style="1358" customWidth="1"/>
    <col min="15362" max="15362" width="11.42578125" style="1358" customWidth="1"/>
    <col min="15363" max="15363" width="14.140625" style="1358" customWidth="1"/>
    <col min="15364" max="15364" width="12.5703125" style="1358" customWidth="1"/>
    <col min="15365" max="15365" width="9.42578125" style="1358" bestFit="1" customWidth="1"/>
    <col min="15366" max="15366" width="13.85546875" style="1358" customWidth="1"/>
    <col min="15367" max="15367" width="10" style="1358" bestFit="1" customWidth="1"/>
    <col min="15368" max="15368" width="4.85546875" style="1358" customWidth="1"/>
    <col min="15369" max="15369" width="20" style="1358" customWidth="1"/>
    <col min="15370" max="15370" width="19.7109375" style="1358" bestFit="1" customWidth="1"/>
    <col min="15371" max="15371" width="9.140625" style="1358"/>
    <col min="15372" max="15373" width="0" style="1358" hidden="1" customWidth="1"/>
    <col min="15374" max="15616" width="9.140625" style="1358"/>
    <col min="15617" max="15617" width="48.7109375" style="1358" customWidth="1"/>
    <col min="15618" max="15618" width="11.42578125" style="1358" customWidth="1"/>
    <col min="15619" max="15619" width="14.140625" style="1358" customWidth="1"/>
    <col min="15620" max="15620" width="12.5703125" style="1358" customWidth="1"/>
    <col min="15621" max="15621" width="9.42578125" style="1358" bestFit="1" customWidth="1"/>
    <col min="15622" max="15622" width="13.85546875" style="1358" customWidth="1"/>
    <col min="15623" max="15623" width="10" style="1358" bestFit="1" customWidth="1"/>
    <col min="15624" max="15624" width="4.85546875" style="1358" customWidth="1"/>
    <col min="15625" max="15625" width="20" style="1358" customWidth="1"/>
    <col min="15626" max="15626" width="19.7109375" style="1358" bestFit="1" customWidth="1"/>
    <col min="15627" max="15627" width="9.140625" style="1358"/>
    <col min="15628" max="15629" width="0" style="1358" hidden="1" customWidth="1"/>
    <col min="15630" max="15872" width="9.140625" style="1358"/>
    <col min="15873" max="15873" width="48.7109375" style="1358" customWidth="1"/>
    <col min="15874" max="15874" width="11.42578125" style="1358" customWidth="1"/>
    <col min="15875" max="15875" width="14.140625" style="1358" customWidth="1"/>
    <col min="15876" max="15876" width="12.5703125" style="1358" customWidth="1"/>
    <col min="15877" max="15877" width="9.42578125" style="1358" bestFit="1" customWidth="1"/>
    <col min="15878" max="15878" width="13.85546875" style="1358" customWidth="1"/>
    <col min="15879" max="15879" width="10" style="1358" bestFit="1" customWidth="1"/>
    <col min="15880" max="15880" width="4.85546875" style="1358" customWidth="1"/>
    <col min="15881" max="15881" width="20" style="1358" customWidth="1"/>
    <col min="15882" max="15882" width="19.7109375" style="1358" bestFit="1" customWidth="1"/>
    <col min="15883" max="15883" width="9.140625" style="1358"/>
    <col min="15884" max="15885" width="0" style="1358" hidden="1" customWidth="1"/>
    <col min="15886" max="16128" width="9.140625" style="1358"/>
    <col min="16129" max="16129" width="48.7109375" style="1358" customWidth="1"/>
    <col min="16130" max="16130" width="11.42578125" style="1358" customWidth="1"/>
    <col min="16131" max="16131" width="14.140625" style="1358" customWidth="1"/>
    <col min="16132" max="16132" width="12.5703125" style="1358" customWidth="1"/>
    <col min="16133" max="16133" width="9.42578125" style="1358" bestFit="1" customWidth="1"/>
    <col min="16134" max="16134" width="13.85546875" style="1358" customWidth="1"/>
    <col min="16135" max="16135" width="10" style="1358" bestFit="1" customWidth="1"/>
    <col min="16136" max="16136" width="4.85546875" style="1358" customWidth="1"/>
    <col min="16137" max="16137" width="20" style="1358" customWidth="1"/>
    <col min="16138" max="16138" width="19.7109375" style="1358" bestFit="1" customWidth="1"/>
    <col min="16139" max="16139" width="9.140625" style="1358"/>
    <col min="16140" max="16141" width="0" style="1358" hidden="1" customWidth="1"/>
    <col min="16142" max="16384" width="9.140625" style="1358"/>
  </cols>
  <sheetData>
    <row r="1" spans="1:13" s="1355" customFormat="1" ht="15.75">
      <c r="G1" s="1356"/>
      <c r="I1" s="1934" t="s">
        <v>1580</v>
      </c>
      <c r="J1" s="1934"/>
    </row>
    <row r="2" spans="1:13" s="1355" customFormat="1" ht="15.75">
      <c r="A2" s="1357"/>
      <c r="B2" s="1357"/>
      <c r="C2" s="1357"/>
      <c r="D2" s="1357"/>
      <c r="E2" s="1357"/>
      <c r="F2" s="1357"/>
      <c r="G2" s="1357"/>
    </row>
    <row r="3" spans="1:13" s="1355" customFormat="1" ht="15.75">
      <c r="A3" s="1935" t="s">
        <v>2454</v>
      </c>
      <c r="B3" s="1935"/>
      <c r="C3" s="1935"/>
      <c r="D3" s="1935"/>
      <c r="E3" s="1935"/>
      <c r="F3" s="1935"/>
      <c r="G3" s="1935"/>
      <c r="H3" s="1935"/>
      <c r="I3" s="1935"/>
      <c r="J3" s="1935"/>
    </row>
    <row r="4" spans="1:13" s="1355" customFormat="1" ht="15.75">
      <c r="A4" s="1935" t="s">
        <v>2455</v>
      </c>
      <c r="B4" s="1935"/>
      <c r="C4" s="1935"/>
      <c r="D4" s="1935"/>
      <c r="E4" s="1935"/>
      <c r="F4" s="1935"/>
      <c r="G4" s="1935"/>
      <c r="H4" s="1935"/>
      <c r="I4" s="1935"/>
      <c r="J4" s="1935"/>
    </row>
    <row r="5" spans="1:13" s="1355" customFormat="1" ht="15.75">
      <c r="A5" s="1935" t="s">
        <v>2751</v>
      </c>
      <c r="B5" s="1935"/>
      <c r="C5" s="1935"/>
      <c r="D5" s="1935"/>
      <c r="E5" s="1935"/>
      <c r="F5" s="1935"/>
      <c r="G5" s="1935"/>
      <c r="H5" s="1935"/>
      <c r="I5" s="1935"/>
      <c r="J5" s="1935"/>
    </row>
    <row r="6" spans="1:13" ht="14.25" thickBot="1">
      <c r="G6" s="1359" t="s">
        <v>2456</v>
      </c>
      <c r="H6" s="1360"/>
      <c r="J6" s="1359" t="s">
        <v>2457</v>
      </c>
    </row>
    <row r="7" spans="1:13" ht="12" customHeight="1">
      <c r="A7" s="1936" t="s">
        <v>2458</v>
      </c>
      <c r="B7" s="1938" t="s">
        <v>2459</v>
      </c>
      <c r="C7" s="1939"/>
      <c r="D7" s="1939"/>
      <c r="E7" s="1940"/>
      <c r="F7" s="1941" t="s">
        <v>2460</v>
      </c>
      <c r="G7" s="1943" t="s">
        <v>18</v>
      </c>
      <c r="H7" s="1362"/>
      <c r="I7" s="1945" t="s">
        <v>2461</v>
      </c>
      <c r="J7" s="1945" t="s">
        <v>2462</v>
      </c>
    </row>
    <row r="8" spans="1:13" s="1366" customFormat="1" ht="51.75" thickBot="1">
      <c r="A8" s="1937"/>
      <c r="B8" s="1363" t="s">
        <v>2463</v>
      </c>
      <c r="C8" s="1364" t="s">
        <v>2464</v>
      </c>
      <c r="D8" s="1364" t="s">
        <v>2465</v>
      </c>
      <c r="E8" s="1365" t="s">
        <v>18</v>
      </c>
      <c r="F8" s="1942"/>
      <c r="G8" s="1944"/>
      <c r="H8" s="1362"/>
      <c r="I8" s="1946"/>
      <c r="J8" s="1946"/>
    </row>
    <row r="9" spans="1:13">
      <c r="A9" s="1367"/>
      <c r="B9" s="1368"/>
      <c r="C9" s="1369"/>
      <c r="D9" s="1369"/>
      <c r="E9" s="1370"/>
      <c r="F9" s="1371"/>
      <c r="G9" s="1372"/>
      <c r="H9" s="1373"/>
      <c r="I9" s="1374"/>
      <c r="J9" s="1374"/>
    </row>
    <row r="10" spans="1:13" s="1380" customFormat="1" ht="13.5">
      <c r="A10" s="1375" t="s">
        <v>2466</v>
      </c>
      <c r="B10" s="1376">
        <f t="shared" ref="B10:G10" si="0">+B11+B12+B18+B22</f>
        <v>2623715</v>
      </c>
      <c r="C10" s="1377">
        <f t="shared" si="0"/>
        <v>0</v>
      </c>
      <c r="D10" s="1377">
        <f t="shared" si="0"/>
        <v>5034660</v>
      </c>
      <c r="E10" s="1370">
        <f t="shared" si="0"/>
        <v>7658375</v>
      </c>
      <c r="F10" s="1378">
        <f t="shared" si="0"/>
        <v>932697</v>
      </c>
      <c r="G10" s="1372">
        <f t="shared" si="0"/>
        <v>8591072</v>
      </c>
      <c r="H10" s="1373"/>
      <c r="I10" s="1379">
        <f>+I11+I12+I18+I22</f>
        <v>515108</v>
      </c>
      <c r="J10" s="1379">
        <f>+J11+J12+J18+J22</f>
        <v>0</v>
      </c>
    </row>
    <row r="11" spans="1:13">
      <c r="A11" s="1367" t="s">
        <v>2467</v>
      </c>
      <c r="B11" s="1368"/>
      <c r="C11" s="1369"/>
      <c r="D11" s="1369">
        <v>308</v>
      </c>
      <c r="E11" s="1370">
        <f>+B11+C11+D11</f>
        <v>308</v>
      </c>
      <c r="F11" s="1371"/>
      <c r="G11" s="1372">
        <f>+E11+F11</f>
        <v>308</v>
      </c>
      <c r="H11" s="1373"/>
      <c r="I11" s="1374">
        <v>133671</v>
      </c>
      <c r="J11" s="1374"/>
      <c r="L11" s="1358">
        <f>+'19.mell 2019K12'!E6</f>
        <v>308</v>
      </c>
      <c r="M11" s="1358">
        <f>+L11-G11</f>
        <v>0</v>
      </c>
    </row>
    <row r="12" spans="1:13">
      <c r="A12" s="1367" t="s">
        <v>2468</v>
      </c>
      <c r="B12" s="1368">
        <f t="shared" ref="B12:G12" si="1">+B13+B14+B15+B16+B17</f>
        <v>2623715</v>
      </c>
      <c r="C12" s="1369">
        <f t="shared" si="1"/>
        <v>0</v>
      </c>
      <c r="D12" s="1369">
        <f t="shared" si="1"/>
        <v>4107519</v>
      </c>
      <c r="E12" s="1370">
        <f t="shared" si="1"/>
        <v>6731234</v>
      </c>
      <c r="F12" s="1371">
        <f t="shared" si="1"/>
        <v>802876</v>
      </c>
      <c r="G12" s="1372">
        <f t="shared" si="1"/>
        <v>7534110</v>
      </c>
      <c r="H12" s="1373"/>
      <c r="I12" s="1374">
        <f>+I13+I14+I15+I16+I17</f>
        <v>312847</v>
      </c>
      <c r="J12" s="1374">
        <f>+J13+J14+J15+J16+J17</f>
        <v>0</v>
      </c>
      <c r="L12" s="1358">
        <f>+'19.mell 2019K12'!E7</f>
        <v>7534110</v>
      </c>
      <c r="M12" s="1358">
        <f>+L12-G12</f>
        <v>0</v>
      </c>
    </row>
    <row r="13" spans="1:13">
      <c r="A13" s="1381" t="s">
        <v>2469</v>
      </c>
      <c r="B13" s="1382">
        <v>2623715</v>
      </c>
      <c r="C13" s="1383"/>
      <c r="D13" s="1384">
        <f>6328206-802876-2623715</f>
        <v>2901615</v>
      </c>
      <c r="E13" s="1370">
        <f>+B13+C13+D13</f>
        <v>5525330</v>
      </c>
      <c r="F13" s="1385">
        <v>802876</v>
      </c>
      <c r="G13" s="1372">
        <f>+E13+F13</f>
        <v>6328206</v>
      </c>
      <c r="H13" s="1373"/>
      <c r="I13" s="1374">
        <v>10063</v>
      </c>
      <c r="J13" s="1374"/>
    </row>
    <row r="14" spans="1:13">
      <c r="A14" s="1381" t="s">
        <v>2470</v>
      </c>
      <c r="B14" s="1368"/>
      <c r="C14" s="1369"/>
      <c r="D14" s="1369">
        <v>275931</v>
      </c>
      <c r="E14" s="1370">
        <f>+B14+C14+D14</f>
        <v>275931</v>
      </c>
      <c r="F14" s="1385"/>
      <c r="G14" s="1372">
        <f>+E14+F14</f>
        <v>275931</v>
      </c>
      <c r="H14" s="1373"/>
      <c r="I14" s="1374">
        <v>302784</v>
      </c>
      <c r="J14" s="1374"/>
    </row>
    <row r="15" spans="1:13">
      <c r="A15" s="1381" t="s">
        <v>2471</v>
      </c>
      <c r="B15" s="1368"/>
      <c r="C15" s="1369"/>
      <c r="D15" s="1369"/>
      <c r="E15" s="1370">
        <f>+B15+C15+D15</f>
        <v>0</v>
      </c>
      <c r="F15" s="1371"/>
      <c r="G15" s="1372">
        <f>+E15+F15</f>
        <v>0</v>
      </c>
      <c r="H15" s="1373"/>
      <c r="I15" s="1374"/>
      <c r="J15" s="1374"/>
    </row>
    <row r="16" spans="1:13">
      <c r="A16" s="1381" t="s">
        <v>2472</v>
      </c>
      <c r="B16" s="1368"/>
      <c r="C16" s="1369"/>
      <c r="D16" s="1369">
        <f>929972+1</f>
        <v>929973</v>
      </c>
      <c r="E16" s="1370">
        <f>+B16+C16+D16</f>
        <v>929973</v>
      </c>
      <c r="F16" s="1385"/>
      <c r="G16" s="1372">
        <f>+E16+F16</f>
        <v>929973</v>
      </c>
      <c r="H16" s="1373"/>
      <c r="I16" s="1374"/>
      <c r="J16" s="1374"/>
    </row>
    <row r="17" spans="1:13">
      <c r="A17" s="1381" t="s">
        <v>2473</v>
      </c>
      <c r="B17" s="1368"/>
      <c r="C17" s="1369"/>
      <c r="D17" s="1369"/>
      <c r="E17" s="1370">
        <f>+B17+C17+D17</f>
        <v>0</v>
      </c>
      <c r="F17" s="1371"/>
      <c r="G17" s="1372">
        <f>+E17+F17</f>
        <v>0</v>
      </c>
      <c r="H17" s="1373"/>
      <c r="I17" s="1374"/>
      <c r="J17" s="1374"/>
    </row>
    <row r="18" spans="1:13">
      <c r="A18" s="1367" t="s">
        <v>2474</v>
      </c>
      <c r="B18" s="1382">
        <f t="shared" ref="B18:G18" si="2">+B19+B20+B21</f>
        <v>0</v>
      </c>
      <c r="C18" s="1384">
        <f t="shared" si="2"/>
        <v>0</v>
      </c>
      <c r="D18" s="1384">
        <f t="shared" si="2"/>
        <v>0</v>
      </c>
      <c r="E18" s="1386">
        <f t="shared" si="2"/>
        <v>0</v>
      </c>
      <c r="F18" s="1385">
        <f t="shared" si="2"/>
        <v>66434</v>
      </c>
      <c r="G18" s="1372">
        <f t="shared" si="2"/>
        <v>66434</v>
      </c>
      <c r="H18" s="1372"/>
      <c r="I18" s="1387">
        <f>+I19+I20+I21</f>
        <v>0</v>
      </c>
      <c r="J18" s="1387">
        <f>+J19+J20+J21</f>
        <v>0</v>
      </c>
      <c r="L18" s="1358">
        <f>+'19.mell 2019K12'!E8</f>
        <v>66434</v>
      </c>
      <c r="M18" s="1358">
        <f>+L18-G18</f>
        <v>0</v>
      </c>
    </row>
    <row r="19" spans="1:13">
      <c r="A19" s="1381" t="s">
        <v>2475</v>
      </c>
      <c r="B19" s="1382"/>
      <c r="C19" s="1384"/>
      <c r="D19" s="1384"/>
      <c r="E19" s="1370">
        <f>+B19+C19+D19</f>
        <v>0</v>
      </c>
      <c r="F19" s="1385">
        <v>66434</v>
      </c>
      <c r="G19" s="1372">
        <f>+E19+F19</f>
        <v>66434</v>
      </c>
      <c r="H19" s="1372"/>
      <c r="I19" s="1387"/>
      <c r="J19" s="1387"/>
    </row>
    <row r="20" spans="1:13">
      <c r="A20" s="1381" t="s">
        <v>2476</v>
      </c>
      <c r="B20" s="1382"/>
      <c r="C20" s="1384"/>
      <c r="D20" s="1384"/>
      <c r="E20" s="1370">
        <f>+B20+C20+D20</f>
        <v>0</v>
      </c>
      <c r="F20" s="1385"/>
      <c r="G20" s="1372">
        <f>+E20+F20</f>
        <v>0</v>
      </c>
      <c r="H20" s="1372"/>
      <c r="I20" s="1387"/>
      <c r="J20" s="1387"/>
    </row>
    <row r="21" spans="1:13">
      <c r="A21" s="1381" t="s">
        <v>2477</v>
      </c>
      <c r="B21" s="1382"/>
      <c r="C21" s="1384"/>
      <c r="D21" s="1384"/>
      <c r="E21" s="1370">
        <f>+B21+C21+D21</f>
        <v>0</v>
      </c>
      <c r="F21" s="1385"/>
      <c r="G21" s="1372">
        <f>+E21+F21</f>
        <v>0</v>
      </c>
      <c r="H21" s="1372"/>
      <c r="I21" s="1387"/>
      <c r="J21" s="1387"/>
    </row>
    <row r="22" spans="1:13">
      <c r="A22" s="1367" t="s">
        <v>2478</v>
      </c>
      <c r="B22" s="1382"/>
      <c r="C22" s="1384"/>
      <c r="D22" s="1384">
        <f>990220-63387</f>
        <v>926833</v>
      </c>
      <c r="E22" s="1370">
        <f>+B22+C22+D22</f>
        <v>926833</v>
      </c>
      <c r="F22" s="1385">
        <v>63387</v>
      </c>
      <c r="G22" s="1372">
        <f>+E22+F22</f>
        <v>990220</v>
      </c>
      <c r="H22" s="1372"/>
      <c r="I22" s="1387">
        <v>68590</v>
      </c>
      <c r="J22" s="1387"/>
      <c r="L22" s="1358">
        <f>+'19.mell 2019K12'!E9</f>
        <v>990220</v>
      </c>
      <c r="M22" s="1358">
        <f>+L22-G22</f>
        <v>0</v>
      </c>
    </row>
    <row r="23" spans="1:13">
      <c r="A23" s="1388"/>
      <c r="B23" s="1382"/>
      <c r="C23" s="1384"/>
      <c r="D23" s="1384"/>
      <c r="E23" s="1386"/>
      <c r="F23" s="1385"/>
      <c r="G23" s="1372"/>
      <c r="H23" s="1372"/>
      <c r="I23" s="1387"/>
      <c r="J23" s="1387"/>
    </row>
    <row r="24" spans="1:13" s="1380" customFormat="1" ht="13.5">
      <c r="A24" s="1375" t="s">
        <v>2479</v>
      </c>
      <c r="B24" s="1389">
        <f t="shared" ref="B24:G24" si="3">+B25+B26</f>
        <v>0</v>
      </c>
      <c r="C24" s="1390">
        <f t="shared" si="3"/>
        <v>0</v>
      </c>
      <c r="D24" s="1390">
        <f t="shared" si="3"/>
        <v>0</v>
      </c>
      <c r="E24" s="1386">
        <f t="shared" si="3"/>
        <v>0</v>
      </c>
      <c r="F24" s="1391">
        <f t="shared" si="3"/>
        <v>2924</v>
      </c>
      <c r="G24" s="1372">
        <f t="shared" si="3"/>
        <v>2924</v>
      </c>
      <c r="H24" s="1372"/>
      <c r="I24" s="1392">
        <f>+I25+I26</f>
        <v>0</v>
      </c>
      <c r="J24" s="1392">
        <f>+J25+J26</f>
        <v>0</v>
      </c>
    </row>
    <row r="25" spans="1:13">
      <c r="A25" s="1393" t="s">
        <v>2480</v>
      </c>
      <c r="B25" s="1382"/>
      <c r="C25" s="1384"/>
      <c r="D25" s="1384"/>
      <c r="E25" s="1370">
        <f>+B25+C25+D25</f>
        <v>0</v>
      </c>
      <c r="F25" s="1385">
        <v>2924</v>
      </c>
      <c r="G25" s="1372">
        <f>+E25+F25</f>
        <v>2924</v>
      </c>
      <c r="H25" s="1372"/>
      <c r="I25" s="1387"/>
      <c r="J25" s="1387"/>
      <c r="L25" s="1358">
        <f>+'19.mell 2019K12'!E11</f>
        <v>2924</v>
      </c>
      <c r="M25" s="1358">
        <f>+L25-G25</f>
        <v>0</v>
      </c>
    </row>
    <row r="26" spans="1:13">
      <c r="A26" s="1393" t="s">
        <v>2481</v>
      </c>
      <c r="B26" s="1382"/>
      <c r="C26" s="1384"/>
      <c r="D26" s="1384"/>
      <c r="E26" s="1370">
        <f>+B26+C26+D26</f>
        <v>0</v>
      </c>
      <c r="F26" s="1385"/>
      <c r="G26" s="1372">
        <f>+E26+F26</f>
        <v>0</v>
      </c>
      <c r="H26" s="1372"/>
      <c r="I26" s="1387"/>
      <c r="J26" s="1387"/>
      <c r="L26" s="1358">
        <f>+'19.mell 2019K12'!E12</f>
        <v>0</v>
      </c>
      <c r="M26" s="1358">
        <f>+L26-G26</f>
        <v>0</v>
      </c>
    </row>
    <row r="27" spans="1:13">
      <c r="A27" s="1367"/>
      <c r="B27" s="1382"/>
      <c r="C27" s="1384"/>
      <c r="D27" s="1384"/>
      <c r="E27" s="1386"/>
      <c r="F27" s="1385"/>
      <c r="G27" s="1372"/>
      <c r="H27" s="1372"/>
      <c r="I27" s="1387"/>
      <c r="J27" s="1387"/>
    </row>
    <row r="28" spans="1:13" s="1380" customFormat="1" ht="13.5">
      <c r="A28" s="1375" t="s">
        <v>2482</v>
      </c>
      <c r="B28" s="1389">
        <f t="shared" ref="B28:G28" si="4">+B29+B30+B31+B32</f>
        <v>0</v>
      </c>
      <c r="C28" s="1390">
        <f t="shared" si="4"/>
        <v>0</v>
      </c>
      <c r="D28" s="1390">
        <f t="shared" si="4"/>
        <v>0</v>
      </c>
      <c r="E28" s="1386">
        <f t="shared" si="4"/>
        <v>0</v>
      </c>
      <c r="F28" s="1391">
        <f t="shared" si="4"/>
        <v>3081968</v>
      </c>
      <c r="G28" s="1372">
        <f t="shared" si="4"/>
        <v>3081968</v>
      </c>
      <c r="H28" s="1372"/>
      <c r="I28" s="1392">
        <f>+I29+I30+I31+I32</f>
        <v>0</v>
      </c>
      <c r="J28" s="1392">
        <f>+J29+J30+J31+J32</f>
        <v>0</v>
      </c>
    </row>
    <row r="29" spans="1:13">
      <c r="A29" s="1393" t="s">
        <v>2483</v>
      </c>
      <c r="B29" s="1382"/>
      <c r="C29" s="1384"/>
      <c r="D29" s="1384"/>
      <c r="E29" s="1370">
        <f>+B29+C29+D29</f>
        <v>0</v>
      </c>
      <c r="F29" s="1385"/>
      <c r="G29" s="1372">
        <f>+E29+F29</f>
        <v>0</v>
      </c>
      <c r="H29" s="1372"/>
      <c r="I29" s="1387"/>
      <c r="J29" s="1387"/>
      <c r="L29" s="1358">
        <f>+'19.mell 2019K12'!E14</f>
        <v>0</v>
      </c>
      <c r="M29" s="1358">
        <f>+L29-G29</f>
        <v>0</v>
      </c>
    </row>
    <row r="30" spans="1:13">
      <c r="A30" s="1393" t="s">
        <v>2484</v>
      </c>
      <c r="B30" s="1382"/>
      <c r="C30" s="1384"/>
      <c r="D30" s="1384"/>
      <c r="E30" s="1370">
        <f>+B30+C30+D30</f>
        <v>0</v>
      </c>
      <c r="F30" s="1385">
        <v>1232</v>
      </c>
      <c r="G30" s="1372">
        <f>+E30+F30</f>
        <v>1232</v>
      </c>
      <c r="H30" s="1372"/>
      <c r="I30" s="1387"/>
      <c r="J30" s="1387"/>
      <c r="L30" s="1358">
        <f>+'19.mell 2019K12'!E15</f>
        <v>1232</v>
      </c>
      <c r="M30" s="1358">
        <f>+L30-G30</f>
        <v>0</v>
      </c>
    </row>
    <row r="31" spans="1:13">
      <c r="A31" s="1393" t="s">
        <v>2485</v>
      </c>
      <c r="B31" s="1382"/>
      <c r="C31" s="1384"/>
      <c r="D31" s="1384"/>
      <c r="E31" s="1370">
        <f>+B31+C31+D31</f>
        <v>0</v>
      </c>
      <c r="F31" s="1385">
        <v>3080736</v>
      </c>
      <c r="G31" s="1372">
        <f>+E31+F31</f>
        <v>3080736</v>
      </c>
      <c r="H31" s="1372"/>
      <c r="I31" s="1387"/>
      <c r="J31" s="1387"/>
      <c r="L31" s="1358">
        <f>+'19.mell 2019K12'!E16</f>
        <v>3080736</v>
      </c>
      <c r="M31" s="1358">
        <f>+L31-F31-F32</f>
        <v>0</v>
      </c>
    </row>
    <row r="32" spans="1:13">
      <c r="A32" s="1393" t="s">
        <v>2486</v>
      </c>
      <c r="B32" s="1382"/>
      <c r="C32" s="1384"/>
      <c r="D32" s="1384"/>
      <c r="E32" s="1370">
        <f>+B32+C32+D32</f>
        <v>0</v>
      </c>
      <c r="F32" s="1385"/>
      <c r="G32" s="1372">
        <f>+E32+F32</f>
        <v>0</v>
      </c>
      <c r="H32" s="1372"/>
      <c r="I32" s="1387"/>
      <c r="J32" s="1387"/>
    </row>
    <row r="33" spans="1:13">
      <c r="A33" s="1393"/>
      <c r="B33" s="1382"/>
      <c r="C33" s="1384"/>
      <c r="D33" s="1384"/>
      <c r="E33" s="1386"/>
      <c r="F33" s="1385"/>
      <c r="G33" s="1372"/>
      <c r="H33" s="1372"/>
      <c r="I33" s="1387"/>
      <c r="J33" s="1387"/>
    </row>
    <row r="34" spans="1:13" s="1380" customFormat="1" ht="13.5">
      <c r="A34" s="1375" t="s">
        <v>2487</v>
      </c>
      <c r="B34" s="1389">
        <f t="shared" ref="B34:G34" si="5">+B35+B36+B37</f>
        <v>0</v>
      </c>
      <c r="C34" s="1390">
        <f t="shared" si="5"/>
        <v>0</v>
      </c>
      <c r="D34" s="1390">
        <f t="shared" si="5"/>
        <v>0</v>
      </c>
      <c r="E34" s="1386">
        <f t="shared" si="5"/>
        <v>0</v>
      </c>
      <c r="F34" s="1391">
        <f t="shared" si="5"/>
        <v>787213</v>
      </c>
      <c r="G34" s="1372">
        <f t="shared" si="5"/>
        <v>787213</v>
      </c>
      <c r="H34" s="1372"/>
      <c r="I34" s="1392">
        <f>+I35+I36+I37</f>
        <v>0</v>
      </c>
      <c r="J34" s="1392">
        <f>+J35+J36+J37</f>
        <v>0</v>
      </c>
    </row>
    <row r="35" spans="1:13">
      <c r="A35" s="1393" t="s">
        <v>2488</v>
      </c>
      <c r="B35" s="1382"/>
      <c r="C35" s="1384"/>
      <c r="D35" s="1384"/>
      <c r="E35" s="1370">
        <f>+B35+C35+D35</f>
        <v>0</v>
      </c>
      <c r="F35" s="1385">
        <v>192081</v>
      </c>
      <c r="G35" s="1372">
        <f>+E35+F35</f>
        <v>192081</v>
      </c>
      <c r="H35" s="1372"/>
      <c r="I35" s="1387"/>
      <c r="J35" s="1387"/>
      <c r="L35" s="1358">
        <f>+'19.mell 2019K12'!E18</f>
        <v>192081</v>
      </c>
      <c r="M35" s="1358">
        <f t="shared" ref="M35:M41" si="6">+L35-G35</f>
        <v>0</v>
      </c>
    </row>
    <row r="36" spans="1:13">
      <c r="A36" s="1393" t="s">
        <v>2489</v>
      </c>
      <c r="B36" s="1382"/>
      <c r="C36" s="1384"/>
      <c r="D36" s="1384"/>
      <c r="E36" s="1370">
        <f>+B36+C36+D36</f>
        <v>0</v>
      </c>
      <c r="F36" s="1385"/>
      <c r="G36" s="1372">
        <f>+E36+F36</f>
        <v>0</v>
      </c>
      <c r="H36" s="1372"/>
      <c r="I36" s="1387"/>
      <c r="J36" s="1387"/>
      <c r="L36" s="1358">
        <f>+'19.mell 2019K12'!E19</f>
        <v>0</v>
      </c>
      <c r="M36" s="1358">
        <f t="shared" si="6"/>
        <v>0</v>
      </c>
    </row>
    <row r="37" spans="1:13">
      <c r="A37" s="1393" t="s">
        <v>2490</v>
      </c>
      <c r="B37" s="1382"/>
      <c r="C37" s="1384"/>
      <c r="D37" s="1384"/>
      <c r="E37" s="1370">
        <f>+B37+C37+D37</f>
        <v>0</v>
      </c>
      <c r="F37" s="1385">
        <v>595132</v>
      </c>
      <c r="G37" s="1372">
        <f>+E37+F37</f>
        <v>595132</v>
      </c>
      <c r="H37" s="1372"/>
      <c r="I37" s="1387"/>
      <c r="J37" s="1387"/>
      <c r="L37" s="1358">
        <f>+'19.mell 2019K12'!E20</f>
        <v>595132</v>
      </c>
      <c r="M37" s="1358">
        <f t="shared" si="6"/>
        <v>0</v>
      </c>
    </row>
    <row r="38" spans="1:13">
      <c r="A38" s="1393"/>
      <c r="B38" s="1382"/>
      <c r="C38" s="1384"/>
      <c r="D38" s="1384"/>
      <c r="E38" s="1386"/>
      <c r="F38" s="1385"/>
      <c r="G38" s="1372"/>
      <c r="H38" s="1372"/>
      <c r="I38" s="1387"/>
      <c r="J38" s="1387"/>
    </row>
    <row r="39" spans="1:13" s="1380" customFormat="1" ht="13.5">
      <c r="A39" s="1394" t="s">
        <v>2491</v>
      </c>
      <c r="B39" s="1389"/>
      <c r="C39" s="1390"/>
      <c r="D39" s="1390"/>
      <c r="E39" s="1370">
        <f>+B39+C39+D39</f>
        <v>0</v>
      </c>
      <c r="F39" s="1391">
        <v>-1237</v>
      </c>
      <c r="G39" s="1372">
        <f>+E39+F39</f>
        <v>-1237</v>
      </c>
      <c r="H39" s="1372"/>
      <c r="I39" s="1392"/>
      <c r="J39" s="1392"/>
      <c r="L39" s="1380">
        <f>+'19.mell 2019K12'!E22</f>
        <v>-1237</v>
      </c>
      <c r="M39" s="1358">
        <f t="shared" si="6"/>
        <v>0</v>
      </c>
    </row>
    <row r="40" spans="1:13">
      <c r="A40" s="1395"/>
      <c r="B40" s="1382"/>
      <c r="C40" s="1384"/>
      <c r="D40" s="1384"/>
      <c r="E40" s="1396"/>
      <c r="F40" s="1385"/>
      <c r="G40" s="1397"/>
      <c r="H40" s="1397"/>
      <c r="I40" s="1387"/>
      <c r="J40" s="1387"/>
    </row>
    <row r="41" spans="1:13" s="1380" customFormat="1" ht="13.5">
      <c r="A41" s="1394" t="s">
        <v>2492</v>
      </c>
      <c r="B41" s="1389"/>
      <c r="C41" s="1390"/>
      <c r="D41" s="1390"/>
      <c r="E41" s="1370">
        <f>+B41+C41+D41</f>
        <v>0</v>
      </c>
      <c r="F41" s="1391">
        <v>36</v>
      </c>
      <c r="G41" s="1372">
        <f>+E41+F41</f>
        <v>36</v>
      </c>
      <c r="H41" s="1372"/>
      <c r="I41" s="1392"/>
      <c r="J41" s="1392"/>
      <c r="L41" s="1380">
        <f>+'19.mell 2019K12'!E23</f>
        <v>36</v>
      </c>
      <c r="M41" s="1358">
        <f t="shared" si="6"/>
        <v>0</v>
      </c>
    </row>
    <row r="42" spans="1:13" ht="13.5" thickBot="1">
      <c r="A42" s="1381"/>
      <c r="B42" s="1382"/>
      <c r="C42" s="1384"/>
      <c r="D42" s="1384"/>
      <c r="E42" s="1396"/>
      <c r="F42" s="1398"/>
      <c r="G42" s="1399"/>
      <c r="H42" s="1400"/>
      <c r="I42" s="1387"/>
      <c r="J42" s="1387"/>
    </row>
    <row r="43" spans="1:13" s="1380" customFormat="1" ht="14.25" thickBot="1">
      <c r="A43" s="1401" t="s">
        <v>2493</v>
      </c>
      <c r="B43" s="1402">
        <f t="shared" ref="B43:G43" si="7">+B10+B24+B28+B34+B39+B41</f>
        <v>2623715</v>
      </c>
      <c r="C43" s="1403">
        <f t="shared" si="7"/>
        <v>0</v>
      </c>
      <c r="D43" s="1403">
        <f t="shared" si="7"/>
        <v>5034660</v>
      </c>
      <c r="E43" s="1404">
        <f t="shared" si="7"/>
        <v>7658375</v>
      </c>
      <c r="F43" s="1405">
        <f t="shared" si="7"/>
        <v>4803601</v>
      </c>
      <c r="G43" s="1406">
        <f t="shared" si="7"/>
        <v>12461976</v>
      </c>
      <c r="H43" s="1373"/>
      <c r="I43" s="1407">
        <f>+I10+I24+I28+I34+I39+I41</f>
        <v>515108</v>
      </c>
      <c r="J43" s="1407">
        <f>+J10+J24+J28+J34+J39+J41</f>
        <v>0</v>
      </c>
    </row>
    <row r="44" spans="1:13">
      <c r="A44" s="1408"/>
      <c r="G44" s="1409" t="s">
        <v>2494</v>
      </c>
    </row>
    <row r="45" spans="1:13" ht="13.5" thickBot="1">
      <c r="A45" s="1408"/>
      <c r="G45" s="1409"/>
    </row>
    <row r="46" spans="1:13" ht="12.75" customHeight="1">
      <c r="A46" s="1947" t="s">
        <v>2495</v>
      </c>
      <c r="B46" s="1949" t="s">
        <v>2459</v>
      </c>
      <c r="C46" s="1950"/>
      <c r="D46" s="1950"/>
      <c r="E46" s="1951"/>
      <c r="F46" s="1941" t="s">
        <v>2460</v>
      </c>
      <c r="G46" s="1931" t="s">
        <v>18</v>
      </c>
      <c r="H46" s="1411"/>
    </row>
    <row r="47" spans="1:13" ht="51.75" thickBot="1">
      <c r="A47" s="1948"/>
      <c r="B47" s="1363" t="s">
        <v>2463</v>
      </c>
      <c r="C47" s="1364" t="s">
        <v>2464</v>
      </c>
      <c r="D47" s="1364" t="s">
        <v>2465</v>
      </c>
      <c r="E47" s="1365" t="s">
        <v>18</v>
      </c>
      <c r="F47" s="1942"/>
      <c r="G47" s="1932"/>
      <c r="H47" s="1411"/>
    </row>
    <row r="48" spans="1:13">
      <c r="A48" s="1375"/>
      <c r="B48" s="1389"/>
      <c r="C48" s="1390"/>
      <c r="D48" s="1390"/>
      <c r="E48" s="1386"/>
      <c r="F48" s="1391"/>
      <c r="G48" s="1372"/>
    </row>
    <row r="49" spans="1:13" s="1380" customFormat="1" ht="13.5">
      <c r="A49" s="1375" t="s">
        <v>2496</v>
      </c>
      <c r="B49" s="1412"/>
      <c r="C49" s="1413"/>
      <c r="D49" s="1413"/>
      <c r="E49" s="1414"/>
      <c r="F49" s="1415"/>
      <c r="G49" s="1372">
        <f>+G50+G51+G52+G53+G54+G55</f>
        <v>5163645</v>
      </c>
      <c r="H49" s="1410"/>
      <c r="I49" s="1416"/>
    </row>
    <row r="50" spans="1:13">
      <c r="A50" s="1393" t="s">
        <v>2497</v>
      </c>
      <c r="B50" s="1417"/>
      <c r="C50" s="1418"/>
      <c r="D50" s="1418"/>
      <c r="E50" s="1414"/>
      <c r="F50" s="1419"/>
      <c r="G50" s="1372">
        <v>6470309</v>
      </c>
      <c r="L50" s="1380">
        <f>+'19.mell 2019K12'!E25</f>
        <v>6601020</v>
      </c>
      <c r="M50" s="1380">
        <f>+L50-G50-G51-G52</f>
        <v>0</v>
      </c>
    </row>
    <row r="51" spans="1:13">
      <c r="A51" s="1393" t="s">
        <v>2498</v>
      </c>
      <c r="B51" s="1417"/>
      <c r="C51" s="1418"/>
      <c r="D51" s="1418"/>
      <c r="E51" s="1414"/>
      <c r="F51" s="1419"/>
      <c r="G51" s="1372">
        <v>-136730</v>
      </c>
    </row>
    <row r="52" spans="1:13">
      <c r="A52" s="1393" t="s">
        <v>2499</v>
      </c>
      <c r="B52" s="1417"/>
      <c r="C52" s="1418"/>
      <c r="D52" s="1418"/>
      <c r="E52" s="1414"/>
      <c r="F52" s="1419"/>
      <c r="G52" s="1372">
        <v>267441</v>
      </c>
    </row>
    <row r="53" spans="1:13">
      <c r="A53" s="1393" t="s">
        <v>2500</v>
      </c>
      <c r="B53" s="1417"/>
      <c r="C53" s="1418"/>
      <c r="D53" s="1418"/>
      <c r="E53" s="1414"/>
      <c r="F53" s="1419"/>
      <c r="G53" s="1372">
        <v>-1424256</v>
      </c>
      <c r="L53" s="1358">
        <f>+'19.mell 2019K12'!E26</f>
        <v>-1424256</v>
      </c>
      <c r="M53" s="1358">
        <f>+L53-G53</f>
        <v>0</v>
      </c>
    </row>
    <row r="54" spans="1:13">
      <c r="A54" s="1393" t="s">
        <v>2501</v>
      </c>
      <c r="B54" s="1417"/>
      <c r="C54" s="1418"/>
      <c r="D54" s="1418"/>
      <c r="E54" s="1414"/>
      <c r="F54" s="1419"/>
      <c r="G54" s="1372"/>
      <c r="L54" s="1358">
        <f>+'19.mell 2019K12'!E27</f>
        <v>0</v>
      </c>
      <c r="M54" s="1358">
        <f>+L54-G54</f>
        <v>0</v>
      </c>
    </row>
    <row r="55" spans="1:13">
      <c r="A55" s="1393" t="s">
        <v>2502</v>
      </c>
      <c r="B55" s="1417"/>
      <c r="C55" s="1418"/>
      <c r="D55" s="1418"/>
      <c r="E55" s="1414"/>
      <c r="F55" s="1419"/>
      <c r="G55" s="1372">
        <v>-13119</v>
      </c>
      <c r="L55" s="1358">
        <f>+'19.mell 2019K12'!E28</f>
        <v>-13119</v>
      </c>
      <c r="M55" s="1358">
        <f>+L55-G55</f>
        <v>0</v>
      </c>
    </row>
    <row r="56" spans="1:13">
      <c r="A56" s="1393"/>
      <c r="B56" s="1417"/>
      <c r="C56" s="1418"/>
      <c r="D56" s="1418"/>
      <c r="E56" s="1420"/>
      <c r="F56" s="1419"/>
      <c r="G56" s="1372"/>
    </row>
    <row r="57" spans="1:13" s="1380" customFormat="1" ht="13.5">
      <c r="A57" s="1375" t="s">
        <v>2503</v>
      </c>
      <c r="B57" s="1412"/>
      <c r="C57" s="1413"/>
      <c r="D57" s="1413"/>
      <c r="E57" s="1414"/>
      <c r="F57" s="1415"/>
      <c r="G57" s="1372">
        <f>+G58+G59+G60</f>
        <v>330443</v>
      </c>
      <c r="H57" s="1410"/>
      <c r="I57" s="1416"/>
    </row>
    <row r="58" spans="1:13">
      <c r="A58" s="1393" t="s">
        <v>2504</v>
      </c>
      <c r="B58" s="1417"/>
      <c r="C58" s="1418"/>
      <c r="D58" s="1418"/>
      <c r="E58" s="1414"/>
      <c r="F58" s="1419"/>
      <c r="G58" s="1372">
        <v>181606</v>
      </c>
      <c r="L58" s="1358">
        <f>+'19.mell 2019K12'!E30</f>
        <v>181606</v>
      </c>
      <c r="M58" s="1358">
        <f t="shared" ref="M58:M64" si="8">+L58-G58</f>
        <v>0</v>
      </c>
    </row>
    <row r="59" spans="1:13">
      <c r="A59" s="1393" t="s">
        <v>2505</v>
      </c>
      <c r="B59" s="1417"/>
      <c r="C59" s="1418"/>
      <c r="D59" s="1418"/>
      <c r="E59" s="1414"/>
      <c r="F59" s="1419"/>
      <c r="G59" s="1372">
        <v>45888</v>
      </c>
      <c r="L59" s="1358">
        <f>+'19.mell 2019K12'!E31</f>
        <v>45888</v>
      </c>
      <c r="M59" s="1358">
        <f t="shared" si="8"/>
        <v>0</v>
      </c>
    </row>
    <row r="60" spans="1:13">
      <c r="A60" s="1393" t="s">
        <v>2506</v>
      </c>
      <c r="B60" s="1417"/>
      <c r="C60" s="1418"/>
      <c r="D60" s="1418"/>
      <c r="E60" s="1414"/>
      <c r="F60" s="1419"/>
      <c r="G60" s="1372">
        <v>102949</v>
      </c>
      <c r="L60" s="1358">
        <f>+'19.mell 2019K12'!E32</f>
        <v>102949</v>
      </c>
      <c r="M60" s="1358">
        <f t="shared" si="8"/>
        <v>0</v>
      </c>
    </row>
    <row r="61" spans="1:13">
      <c r="A61" s="1393"/>
      <c r="B61" s="1417"/>
      <c r="C61" s="1418"/>
      <c r="D61" s="1418"/>
      <c r="E61" s="1420"/>
      <c r="F61" s="1419"/>
      <c r="G61" s="1372"/>
    </row>
    <row r="62" spans="1:13" s="1380" customFormat="1" ht="13.5">
      <c r="A62" s="1394" t="s">
        <v>2507</v>
      </c>
      <c r="B62" s="1412"/>
      <c r="C62" s="1413"/>
      <c r="D62" s="1413"/>
      <c r="E62" s="1414"/>
      <c r="F62" s="1415"/>
      <c r="G62" s="1372"/>
      <c r="H62" s="1410"/>
      <c r="I62" s="1416"/>
      <c r="L62" s="1380">
        <f>+'19.mell 2019K12'!E34</f>
        <v>0</v>
      </c>
      <c r="M62" s="1358">
        <f t="shared" si="8"/>
        <v>0</v>
      </c>
    </row>
    <row r="63" spans="1:13">
      <c r="A63" s="1394"/>
      <c r="B63" s="1417"/>
      <c r="C63" s="1418"/>
      <c r="D63" s="1418"/>
      <c r="E63" s="1420"/>
      <c r="F63" s="1419"/>
      <c r="G63" s="1372"/>
    </row>
    <row r="64" spans="1:13" s="1380" customFormat="1" ht="13.5">
      <c r="A64" s="1375" t="s">
        <v>2508</v>
      </c>
      <c r="B64" s="1412"/>
      <c r="C64" s="1413"/>
      <c r="D64" s="1413"/>
      <c r="E64" s="1414"/>
      <c r="F64" s="1415"/>
      <c r="G64" s="1372">
        <v>6967888</v>
      </c>
      <c r="H64" s="1410"/>
      <c r="I64" s="1416"/>
      <c r="L64" s="1380">
        <f>+'19.mell 2019K12'!E35</f>
        <v>6967888</v>
      </c>
      <c r="M64" s="1358">
        <f t="shared" si="8"/>
        <v>0</v>
      </c>
    </row>
    <row r="65" spans="1:9" ht="13.5" thickBot="1">
      <c r="A65" s="1367"/>
      <c r="B65" s="1382"/>
      <c r="C65" s="1384"/>
      <c r="D65" s="1384"/>
      <c r="E65" s="1396"/>
      <c r="F65" s="1385"/>
      <c r="G65" s="1372"/>
    </row>
    <row r="66" spans="1:9" s="1380" customFormat="1" ht="14.25" thickBot="1">
      <c r="A66" s="1401" t="s">
        <v>2509</v>
      </c>
      <c r="B66" s="1421">
        <f t="shared" ref="B66:G66" si="9">+B49+B57+B62+B64</f>
        <v>0</v>
      </c>
      <c r="C66" s="1422">
        <f t="shared" si="9"/>
        <v>0</v>
      </c>
      <c r="D66" s="1422">
        <f t="shared" si="9"/>
        <v>0</v>
      </c>
      <c r="E66" s="1423">
        <f t="shared" si="9"/>
        <v>0</v>
      </c>
      <c r="F66" s="1424">
        <f t="shared" si="9"/>
        <v>0</v>
      </c>
      <c r="G66" s="1406">
        <f t="shared" si="9"/>
        <v>12461976</v>
      </c>
      <c r="H66" s="1410"/>
      <c r="I66" s="1416"/>
    </row>
    <row r="68" spans="1:9" s="1380" customFormat="1" ht="13.5">
      <c r="A68" s="1416" t="s">
        <v>2510</v>
      </c>
      <c r="G68" s="1380">
        <f>+G69+G70</f>
        <v>4199</v>
      </c>
      <c r="H68" s="1416" t="s">
        <v>2511</v>
      </c>
      <c r="I68" s="1416"/>
    </row>
    <row r="69" spans="1:9">
      <c r="A69" s="1361" t="s">
        <v>2512</v>
      </c>
      <c r="G69" s="1358">
        <v>647</v>
      </c>
      <c r="H69" s="1361" t="s">
        <v>2511</v>
      </c>
    </row>
    <row r="70" spans="1:9">
      <c r="A70" s="1361" t="s">
        <v>2513</v>
      </c>
      <c r="G70" s="1358">
        <v>3552</v>
      </c>
      <c r="H70" s="1361" t="s">
        <v>2511</v>
      </c>
    </row>
    <row r="71" spans="1:9">
      <c r="A71" s="1361"/>
      <c r="G71" s="1358"/>
      <c r="H71" s="1361"/>
    </row>
    <row r="72" spans="1:9" s="1380" customFormat="1" ht="13.5">
      <c r="A72" s="1416" t="s">
        <v>2514</v>
      </c>
      <c r="G72" s="1380">
        <f>SUM(G73:G93)</f>
        <v>4228491</v>
      </c>
      <c r="H72" s="1416" t="s">
        <v>2511</v>
      </c>
      <c r="I72" s="1416"/>
    </row>
    <row r="73" spans="1:9">
      <c r="A73" s="1933" t="s">
        <v>2515</v>
      </c>
      <c r="B73" s="1933"/>
      <c r="C73" s="1933"/>
      <c r="D73" s="1933"/>
      <c r="E73" s="1933"/>
      <c r="F73" s="1933"/>
      <c r="G73" s="1542">
        <v>205000</v>
      </c>
      <c r="H73" s="1361" t="s">
        <v>2511</v>
      </c>
    </row>
    <row r="74" spans="1:9">
      <c r="A74" s="1933" t="s">
        <v>2516</v>
      </c>
      <c r="B74" s="1933"/>
      <c r="C74" s="1933"/>
      <c r="D74" s="1933"/>
      <c r="E74" s="1933"/>
      <c r="F74" s="1933"/>
      <c r="G74" s="1542">
        <v>177292</v>
      </c>
      <c r="H74" s="1361" t="s">
        <v>2511</v>
      </c>
    </row>
    <row r="75" spans="1:9">
      <c r="A75" s="1933" t="s">
        <v>2517</v>
      </c>
      <c r="B75" s="1933"/>
      <c r="C75" s="1933"/>
      <c r="D75" s="1933"/>
      <c r="E75" s="1933"/>
      <c r="F75" s="1933"/>
      <c r="G75" s="1542">
        <v>249619</v>
      </c>
      <c r="H75" s="1361" t="s">
        <v>2511</v>
      </c>
    </row>
    <row r="76" spans="1:9">
      <c r="A76" s="1933" t="s">
        <v>2518</v>
      </c>
      <c r="B76" s="1933"/>
      <c r="C76" s="1933"/>
      <c r="D76" s="1933"/>
      <c r="E76" s="1933"/>
      <c r="F76" s="1933"/>
      <c r="G76" s="1542">
        <v>126248</v>
      </c>
      <c r="H76" s="1361" t="s">
        <v>2511</v>
      </c>
    </row>
    <row r="77" spans="1:9">
      <c r="A77" s="1761" t="s">
        <v>2756</v>
      </c>
      <c r="B77" s="1425"/>
      <c r="C77" s="1425"/>
      <c r="D77" s="1425"/>
      <c r="E77" s="1425"/>
      <c r="F77" s="1425"/>
      <c r="G77" s="1542">
        <v>114709</v>
      </c>
      <c r="H77" s="1361" t="s">
        <v>2511</v>
      </c>
    </row>
    <row r="78" spans="1:9">
      <c r="A78" s="1761" t="s">
        <v>2757</v>
      </c>
      <c r="B78" s="1425"/>
      <c r="C78" s="1425"/>
      <c r="D78" s="1425"/>
      <c r="E78" s="1425"/>
      <c r="F78" s="1425"/>
      <c r="G78" s="1542">
        <f>138388+38713</f>
        <v>177101</v>
      </c>
      <c r="H78" s="1361" t="s">
        <v>2511</v>
      </c>
    </row>
    <row r="79" spans="1:9" s="1361" customFormat="1">
      <c r="A79" s="1361" t="s">
        <v>2758</v>
      </c>
      <c r="G79" s="1546">
        <v>130650</v>
      </c>
      <c r="H79" s="1361" t="s">
        <v>2511</v>
      </c>
    </row>
    <row r="80" spans="1:9">
      <c r="A80" s="1361" t="s">
        <v>2759</v>
      </c>
      <c r="B80" s="1361"/>
      <c r="C80" s="1361"/>
      <c r="D80" s="1361"/>
      <c r="E80" s="1361"/>
      <c r="F80" s="1361"/>
      <c r="G80" s="1546">
        <f>28284+1</f>
        <v>28285</v>
      </c>
      <c r="H80" s="1361" t="s">
        <v>2511</v>
      </c>
    </row>
    <row r="81" spans="1:10" ht="12.75" customHeight="1">
      <c r="A81" s="1361" t="s">
        <v>2760</v>
      </c>
      <c r="B81" s="1361"/>
      <c r="C81" s="1361"/>
      <c r="D81" s="1361"/>
      <c r="E81" s="1361"/>
      <c r="F81" s="1361"/>
      <c r="G81" s="1546">
        <v>16553</v>
      </c>
      <c r="H81" s="1361" t="s">
        <v>2511</v>
      </c>
    </row>
    <row r="82" spans="1:10" ht="13.5">
      <c r="A82" s="1361" t="s">
        <v>2761</v>
      </c>
      <c r="B82" s="1361"/>
      <c r="C82" s="1361"/>
      <c r="D82" s="1361"/>
      <c r="E82" s="1361"/>
      <c r="F82" s="1361"/>
      <c r="G82" s="1546">
        <v>34604</v>
      </c>
      <c r="H82" s="1361" t="s">
        <v>2511</v>
      </c>
      <c r="I82" s="1416"/>
      <c r="J82" s="1380"/>
    </row>
    <row r="83" spans="1:10">
      <c r="A83" s="1361" t="s">
        <v>2762</v>
      </c>
      <c r="B83" s="1361"/>
      <c r="C83" s="1361"/>
      <c r="D83" s="1361"/>
      <c r="E83" s="1361"/>
      <c r="F83" s="1361"/>
      <c r="G83" s="1546">
        <v>57085</v>
      </c>
      <c r="H83" s="1361" t="s">
        <v>2511</v>
      </c>
    </row>
    <row r="84" spans="1:10">
      <c r="A84" s="1361" t="s">
        <v>2763</v>
      </c>
      <c r="B84" s="1361"/>
      <c r="C84" s="1361"/>
      <c r="D84" s="1361"/>
      <c r="E84" s="1361"/>
      <c r="F84" s="1361"/>
      <c r="G84" s="1546">
        <v>195000</v>
      </c>
      <c r="H84" s="1361" t="s">
        <v>2511</v>
      </c>
      <c r="J84" s="1361"/>
    </row>
    <row r="85" spans="1:10" ht="13.5">
      <c r="A85" s="1361" t="s">
        <v>2764</v>
      </c>
      <c r="B85" s="1361"/>
      <c r="C85" s="1361"/>
      <c r="D85" s="1361"/>
      <c r="E85" s="1361"/>
      <c r="F85" s="1361"/>
      <c r="G85" s="1546">
        <v>69268</v>
      </c>
      <c r="H85" s="1361" t="s">
        <v>2511</v>
      </c>
      <c r="I85" s="1416"/>
      <c r="J85" s="1416"/>
    </row>
    <row r="86" spans="1:10">
      <c r="A86" s="1361" t="s">
        <v>2765</v>
      </c>
      <c r="B86" s="1361"/>
      <c r="C86" s="1361"/>
      <c r="D86" s="1361"/>
      <c r="E86" s="1361"/>
      <c r="F86" s="1361"/>
      <c r="G86" s="1546">
        <v>109516</v>
      </c>
      <c r="H86" s="1361" t="s">
        <v>2511</v>
      </c>
    </row>
    <row r="87" spans="1:10">
      <c r="A87" s="1361" t="s">
        <v>2766</v>
      </c>
      <c r="B87" s="1361"/>
      <c r="C87" s="1361"/>
      <c r="D87" s="1361"/>
      <c r="E87" s="1361"/>
      <c r="F87" s="1361"/>
      <c r="G87" s="1546">
        <v>616716</v>
      </c>
      <c r="H87" s="1361" t="s">
        <v>2511</v>
      </c>
    </row>
    <row r="88" spans="1:10">
      <c r="A88" s="1361" t="s">
        <v>2767</v>
      </c>
      <c r="B88" s="1361"/>
      <c r="C88" s="1361"/>
      <c r="D88" s="1361"/>
      <c r="E88" s="1361"/>
      <c r="F88" s="1361"/>
      <c r="G88" s="1546">
        <v>84548</v>
      </c>
      <c r="H88" s="1361" t="s">
        <v>2511</v>
      </c>
    </row>
    <row r="89" spans="1:10">
      <c r="A89" s="1361" t="s">
        <v>2768</v>
      </c>
      <c r="B89" s="1361"/>
      <c r="C89" s="1361"/>
      <c r="D89" s="1361"/>
      <c r="E89" s="1361"/>
      <c r="F89" s="1361"/>
      <c r="G89" s="1546">
        <v>783236</v>
      </c>
      <c r="H89" s="1361" t="s">
        <v>2511</v>
      </c>
    </row>
    <row r="90" spans="1:10">
      <c r="A90" s="1361" t="s">
        <v>2769</v>
      </c>
      <c r="B90" s="1361"/>
      <c r="C90" s="1361"/>
      <c r="D90" s="1361"/>
      <c r="E90" s="1361"/>
      <c r="F90" s="1361"/>
      <c r="G90" s="1546">
        <v>204051</v>
      </c>
      <c r="H90" s="1361" t="s">
        <v>2511</v>
      </c>
    </row>
    <row r="91" spans="1:10">
      <c r="A91" s="1361" t="s">
        <v>2770</v>
      </c>
      <c r="B91" s="1361"/>
      <c r="C91" s="1361"/>
      <c r="D91" s="1361"/>
      <c r="E91" s="1361"/>
      <c r="F91" s="1361"/>
      <c r="G91" s="1546">
        <v>477168</v>
      </c>
      <c r="H91" s="1361" t="s">
        <v>2511</v>
      </c>
    </row>
    <row r="92" spans="1:10">
      <c r="A92" s="1361" t="s">
        <v>2771</v>
      </c>
      <c r="B92" s="1361"/>
      <c r="C92" s="1361"/>
      <c r="D92" s="1361"/>
      <c r="E92" s="1361"/>
      <c r="F92" s="1361"/>
      <c r="G92" s="1546">
        <v>350000</v>
      </c>
      <c r="H92" s="1361" t="s">
        <v>2511</v>
      </c>
    </row>
    <row r="93" spans="1:10">
      <c r="A93" s="1361" t="s">
        <v>2772</v>
      </c>
      <c r="B93" s="1361"/>
      <c r="C93" s="1361"/>
      <c r="D93" s="1361"/>
      <c r="E93" s="1361"/>
      <c r="F93" s="1361"/>
      <c r="G93" s="1546">
        <v>21842</v>
      </c>
      <c r="H93" s="1361" t="s">
        <v>2511</v>
      </c>
    </row>
    <row r="94" spans="1:10" ht="13.5">
      <c r="A94" s="1361"/>
      <c r="B94" s="1361"/>
      <c r="C94" s="1361"/>
      <c r="D94" s="1361"/>
      <c r="E94" s="1361"/>
      <c r="F94" s="1361"/>
      <c r="G94" s="1416"/>
      <c r="H94" s="1361"/>
    </row>
    <row r="95" spans="1:10" ht="13.5">
      <c r="A95" s="1426" t="s">
        <v>2519</v>
      </c>
      <c r="B95" s="1416"/>
      <c r="C95" s="1416"/>
      <c r="D95" s="1416"/>
      <c r="E95" s="1416"/>
      <c r="F95" s="1416"/>
      <c r="G95" s="1380">
        <v>0</v>
      </c>
      <c r="H95" s="1416" t="s">
        <v>2511</v>
      </c>
    </row>
  </sheetData>
  <mergeCells count="18">
    <mergeCell ref="A75:F75"/>
    <mergeCell ref="A76:F76"/>
    <mergeCell ref="A46:A47"/>
    <mergeCell ref="B46:E46"/>
    <mergeCell ref="F46:F47"/>
    <mergeCell ref="G46:G47"/>
    <mergeCell ref="A73:F73"/>
    <mergeCell ref="A74:F74"/>
    <mergeCell ref="I1:J1"/>
    <mergeCell ref="A3:J3"/>
    <mergeCell ref="A4:J4"/>
    <mergeCell ref="A5:J5"/>
    <mergeCell ref="A7:A8"/>
    <mergeCell ref="B7:E7"/>
    <mergeCell ref="F7:F8"/>
    <mergeCell ref="G7:G8"/>
    <mergeCell ref="I7:I8"/>
    <mergeCell ref="J7:J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8">
    <tabColor rgb="FF00B0F0"/>
  </sheetPr>
  <dimension ref="A1:AD242"/>
  <sheetViews>
    <sheetView zoomScaleNormal="100" workbookViewId="0"/>
  </sheetViews>
  <sheetFormatPr defaultRowHeight="12"/>
  <cols>
    <col min="1" max="1" width="6.5703125" style="118" customWidth="1"/>
    <col min="2" max="2" width="109.5703125" style="118" bestFit="1" customWidth="1"/>
    <col min="3" max="5" width="9.28515625" style="118" customWidth="1"/>
    <col min="6" max="6" width="9.28515625" style="1565" customWidth="1"/>
    <col min="7" max="8" width="9.28515625" style="118" customWidth="1"/>
    <col min="9" max="9" width="9.140625" style="118" customWidth="1"/>
    <col min="10" max="10" width="13" style="118" customWidth="1"/>
    <col min="11" max="11" width="9.140625" style="4" hidden="1" customWidth="1"/>
    <col min="12" max="12" width="9.140625" style="118" customWidth="1"/>
    <col min="13" max="16384" width="9.140625" style="118"/>
  </cols>
  <sheetData>
    <row r="1" spans="1:11" s="872" customFormat="1" ht="15.75">
      <c r="F1" s="1547"/>
      <c r="I1" s="873" t="s">
        <v>353</v>
      </c>
      <c r="K1" s="50"/>
    </row>
    <row r="2" spans="1:11" s="872" customFormat="1" ht="15.75">
      <c r="F2" s="1547"/>
      <c r="K2" s="50"/>
    </row>
    <row r="3" spans="1:11" s="874" customFormat="1" ht="15.75">
      <c r="A3" s="1794" t="s">
        <v>354</v>
      </c>
      <c r="B3" s="1794"/>
      <c r="C3" s="1794"/>
      <c r="D3" s="1794"/>
      <c r="E3" s="1794"/>
      <c r="F3" s="1794"/>
      <c r="G3" s="1794"/>
      <c r="H3" s="1794"/>
      <c r="I3" s="1794"/>
      <c r="K3" s="52"/>
    </row>
    <row r="4" spans="1:11" s="874" customFormat="1" ht="15.75">
      <c r="A4" s="1794" t="s">
        <v>1308</v>
      </c>
      <c r="B4" s="1794"/>
      <c r="C4" s="1794"/>
      <c r="D4" s="1794"/>
      <c r="E4" s="1794"/>
      <c r="F4" s="1794"/>
      <c r="G4" s="1794"/>
      <c r="H4" s="1794"/>
      <c r="I4" s="1794"/>
      <c r="K4" s="52"/>
    </row>
    <row r="5" spans="1:11" s="872" customFormat="1" ht="15.75">
      <c r="F5" s="1547"/>
      <c r="K5" s="50"/>
    </row>
    <row r="6" spans="1:11" s="874" customFormat="1" ht="15.75">
      <c r="A6" s="1794" t="s">
        <v>48</v>
      </c>
      <c r="B6" s="1794"/>
      <c r="C6" s="1794"/>
      <c r="D6" s="1794"/>
      <c r="E6" s="1794"/>
      <c r="F6" s="1794"/>
      <c r="G6" s="1794"/>
      <c r="H6" s="1794"/>
      <c r="I6" s="1794"/>
      <c r="K6" s="52"/>
    </row>
    <row r="7" spans="1:11" s="876" customFormat="1" ht="12.75" thickBot="1">
      <c r="A7" s="875" t="s">
        <v>280</v>
      </c>
      <c r="F7" s="1548"/>
      <c r="I7" s="877" t="s">
        <v>281</v>
      </c>
      <c r="K7" s="36"/>
    </row>
    <row r="8" spans="1:11" s="883" customFormat="1" ht="54" customHeight="1" thickBot="1">
      <c r="A8" s="878" t="s">
        <v>17</v>
      </c>
      <c r="B8" s="879" t="s">
        <v>328</v>
      </c>
      <c r="C8" s="1570" t="s">
        <v>1553</v>
      </c>
      <c r="D8" s="1571" t="s">
        <v>1554</v>
      </c>
      <c r="E8" s="6" t="s">
        <v>2646</v>
      </c>
      <c r="F8" s="1549" t="s">
        <v>2645</v>
      </c>
      <c r="G8" s="880" t="s">
        <v>51</v>
      </c>
      <c r="H8" s="881" t="s">
        <v>52</v>
      </c>
      <c r="I8" s="882" t="s">
        <v>53</v>
      </c>
      <c r="K8" s="8"/>
    </row>
    <row r="9" spans="1:11" s="119" customFormat="1" ht="13.5" customHeight="1" thickBot="1">
      <c r="A9" s="884" t="s">
        <v>253</v>
      </c>
      <c r="B9" s="885" t="s">
        <v>254</v>
      </c>
      <c r="C9" s="1795" t="s">
        <v>255</v>
      </c>
      <c r="D9" s="1796"/>
      <c r="E9" s="1796"/>
      <c r="F9" s="1796"/>
      <c r="G9" s="1796"/>
      <c r="H9" s="1796"/>
      <c r="I9" s="1797"/>
      <c r="K9" s="3"/>
    </row>
    <row r="10" spans="1:11" s="119" customFormat="1" ht="12.75" thickBot="1">
      <c r="A10" s="886" t="s">
        <v>4</v>
      </c>
      <c r="B10" s="887" t="s">
        <v>297</v>
      </c>
      <c r="C10" s="1033">
        <f t="shared" ref="C10:I10" si="0">+C11+C25+C32+C44</f>
        <v>1410493</v>
      </c>
      <c r="D10" s="1118">
        <f t="shared" si="0"/>
        <v>2151069</v>
      </c>
      <c r="E10" s="1118">
        <f t="shared" si="0"/>
        <v>1969813</v>
      </c>
      <c r="F10" s="1568">
        <f t="shared" ref="F10:F73" si="1">IF(ISERROR(E10/D10),"-",E10/D10)</f>
        <v>0.9157367801776698</v>
      </c>
      <c r="G10" s="888">
        <f t="shared" si="0"/>
        <v>1969713</v>
      </c>
      <c r="H10" s="889">
        <f t="shared" si="0"/>
        <v>100</v>
      </c>
      <c r="I10" s="890">
        <f t="shared" si="0"/>
        <v>0</v>
      </c>
      <c r="K10" s="3">
        <f t="shared" ref="K10:K73" si="2">+E10-G10-H10-I10</f>
        <v>0</v>
      </c>
    </row>
    <row r="11" spans="1:11" s="119" customFormat="1" ht="12.75" customHeight="1" thickBot="1">
      <c r="A11" s="884" t="s">
        <v>5</v>
      </c>
      <c r="B11" s="891" t="s">
        <v>298</v>
      </c>
      <c r="C11" s="1035">
        <f t="shared" ref="C11:I11" si="3">+C12+C19+C20+C21+C22+C23</f>
        <v>959566</v>
      </c>
      <c r="D11" s="1119">
        <f t="shared" si="3"/>
        <v>1453505</v>
      </c>
      <c r="E11" s="1119">
        <f t="shared" si="3"/>
        <v>1453505</v>
      </c>
      <c r="F11" s="1558">
        <f t="shared" si="1"/>
        <v>1</v>
      </c>
      <c r="G11" s="110">
        <f t="shared" si="3"/>
        <v>1453405</v>
      </c>
      <c r="H11" s="111">
        <f t="shared" si="3"/>
        <v>100</v>
      </c>
      <c r="I11" s="112">
        <f t="shared" si="3"/>
        <v>0</v>
      </c>
      <c r="K11" s="3">
        <f t="shared" si="2"/>
        <v>0</v>
      </c>
    </row>
    <row r="12" spans="1:11" s="119" customFormat="1">
      <c r="A12" s="892" t="s">
        <v>54</v>
      </c>
      <c r="B12" s="113" t="s">
        <v>299</v>
      </c>
      <c r="C12" s="1036">
        <f t="shared" ref="C12:I12" si="4">+C13+C14+C15+C16+C17+C18</f>
        <v>888836</v>
      </c>
      <c r="D12" s="1120">
        <f t="shared" si="4"/>
        <v>907273</v>
      </c>
      <c r="E12" s="1120">
        <f t="shared" si="4"/>
        <v>907273</v>
      </c>
      <c r="F12" s="1560">
        <f t="shared" si="1"/>
        <v>1</v>
      </c>
      <c r="G12" s="893">
        <f t="shared" si="4"/>
        <v>907273</v>
      </c>
      <c r="H12" s="894">
        <f t="shared" si="4"/>
        <v>0</v>
      </c>
      <c r="I12" s="895">
        <f t="shared" si="4"/>
        <v>0</v>
      </c>
      <c r="K12" s="4">
        <f t="shared" si="2"/>
        <v>0</v>
      </c>
    </row>
    <row r="13" spans="1:11" s="117" customFormat="1">
      <c r="A13" s="108" t="s">
        <v>190</v>
      </c>
      <c r="B13" s="109" t="s">
        <v>93</v>
      </c>
      <c r="C13" s="1037">
        <v>221900</v>
      </c>
      <c r="D13" s="1121">
        <v>226970</v>
      </c>
      <c r="E13" s="1121">
        <v>226970</v>
      </c>
      <c r="F13" s="1562">
        <f t="shared" si="1"/>
        <v>1</v>
      </c>
      <c r="G13" s="656">
        <v>226970</v>
      </c>
      <c r="H13" s="657"/>
      <c r="I13" s="658"/>
      <c r="K13" s="13">
        <f t="shared" si="2"/>
        <v>0</v>
      </c>
    </row>
    <row r="14" spans="1:11" s="117" customFormat="1">
      <c r="A14" s="108" t="s">
        <v>191</v>
      </c>
      <c r="B14" s="109" t="s">
        <v>94</v>
      </c>
      <c r="C14" s="1037">
        <v>232153</v>
      </c>
      <c r="D14" s="1121">
        <v>236248</v>
      </c>
      <c r="E14" s="1121">
        <v>236248</v>
      </c>
      <c r="F14" s="1562">
        <f t="shared" si="1"/>
        <v>1</v>
      </c>
      <c r="G14" s="656">
        <v>236248</v>
      </c>
      <c r="H14" s="657"/>
      <c r="I14" s="658"/>
      <c r="K14" s="13">
        <f t="shared" si="2"/>
        <v>0</v>
      </c>
    </row>
    <row r="15" spans="1:11" s="117" customFormat="1">
      <c r="A15" s="108" t="s">
        <v>192</v>
      </c>
      <c r="B15" s="109" t="s">
        <v>95</v>
      </c>
      <c r="C15" s="1037">
        <v>280259</v>
      </c>
      <c r="D15" s="1121">
        <v>297362</v>
      </c>
      <c r="E15" s="1121">
        <v>297362</v>
      </c>
      <c r="F15" s="1562">
        <f t="shared" si="1"/>
        <v>1</v>
      </c>
      <c r="G15" s="656">
        <v>297362</v>
      </c>
      <c r="H15" s="657"/>
      <c r="I15" s="658"/>
      <c r="K15" s="13">
        <f t="shared" si="2"/>
        <v>0</v>
      </c>
    </row>
    <row r="16" spans="1:11" s="117" customFormat="1">
      <c r="A16" s="108" t="s">
        <v>193</v>
      </c>
      <c r="B16" s="109" t="s">
        <v>96</v>
      </c>
      <c r="C16" s="1037">
        <v>19679</v>
      </c>
      <c r="D16" s="1121">
        <v>22593</v>
      </c>
      <c r="E16" s="1121">
        <v>22593</v>
      </c>
      <c r="F16" s="1562">
        <f t="shared" si="1"/>
        <v>1</v>
      </c>
      <c r="G16" s="656">
        <v>22593</v>
      </c>
      <c r="H16" s="657"/>
      <c r="I16" s="658"/>
      <c r="K16" s="13">
        <f t="shared" si="2"/>
        <v>0</v>
      </c>
    </row>
    <row r="17" spans="1:11" s="117" customFormat="1">
      <c r="A17" s="108" t="s">
        <v>194</v>
      </c>
      <c r="B17" s="109" t="s">
        <v>899</v>
      </c>
      <c r="C17" s="1037">
        <v>134845</v>
      </c>
      <c r="D17" s="1121">
        <v>124100</v>
      </c>
      <c r="E17" s="1121">
        <v>124100</v>
      </c>
      <c r="F17" s="1569">
        <f t="shared" si="1"/>
        <v>1</v>
      </c>
      <c r="G17" s="656">
        <v>124100</v>
      </c>
      <c r="H17" s="657"/>
      <c r="I17" s="658"/>
      <c r="K17" s="13">
        <f t="shared" si="2"/>
        <v>0</v>
      </c>
    </row>
    <row r="18" spans="1:11" s="117" customFormat="1">
      <c r="A18" s="108" t="s">
        <v>195</v>
      </c>
      <c r="B18" s="109" t="s">
        <v>900</v>
      </c>
      <c r="C18" s="1037"/>
      <c r="D18" s="1121"/>
      <c r="E18" s="1121"/>
      <c r="F18" s="1569" t="str">
        <f t="shared" si="1"/>
        <v>-</v>
      </c>
      <c r="G18" s="656"/>
      <c r="H18" s="657"/>
      <c r="I18" s="658"/>
      <c r="K18" s="13">
        <f t="shared" si="2"/>
        <v>0</v>
      </c>
    </row>
    <row r="19" spans="1:11">
      <c r="A19" s="896" t="s">
        <v>55</v>
      </c>
      <c r="B19" s="897" t="s">
        <v>97</v>
      </c>
      <c r="C19" s="1038">
        <v>3090</v>
      </c>
      <c r="D19" s="1122">
        <v>3007</v>
      </c>
      <c r="E19" s="1122">
        <v>3007</v>
      </c>
      <c r="F19" s="1562">
        <f t="shared" si="1"/>
        <v>1</v>
      </c>
      <c r="G19" s="866">
        <v>3007</v>
      </c>
      <c r="H19" s="867"/>
      <c r="I19" s="868"/>
      <c r="K19" s="4">
        <f t="shared" si="2"/>
        <v>0</v>
      </c>
    </row>
    <row r="20" spans="1:11">
      <c r="A20" s="896" t="s">
        <v>83</v>
      </c>
      <c r="B20" s="897" t="s">
        <v>98</v>
      </c>
      <c r="C20" s="1038"/>
      <c r="D20" s="1122"/>
      <c r="E20" s="1122"/>
      <c r="F20" s="1562" t="str">
        <f t="shared" si="1"/>
        <v>-</v>
      </c>
      <c r="G20" s="866"/>
      <c r="H20" s="867"/>
      <c r="I20" s="868"/>
      <c r="K20" s="4">
        <f t="shared" si="2"/>
        <v>0</v>
      </c>
    </row>
    <row r="21" spans="1:11">
      <c r="A21" s="896" t="s">
        <v>84</v>
      </c>
      <c r="B21" s="897" t="s">
        <v>99</v>
      </c>
      <c r="C21" s="1038"/>
      <c r="D21" s="1122"/>
      <c r="E21" s="1122"/>
      <c r="F21" s="1562" t="str">
        <f t="shared" si="1"/>
        <v>-</v>
      </c>
      <c r="G21" s="866"/>
      <c r="H21" s="867"/>
      <c r="I21" s="868"/>
      <c r="K21" s="4">
        <f t="shared" si="2"/>
        <v>0</v>
      </c>
    </row>
    <row r="22" spans="1:11">
      <c r="A22" s="896" t="s">
        <v>85</v>
      </c>
      <c r="B22" s="897" t="s">
        <v>100</v>
      </c>
      <c r="C22" s="1038"/>
      <c r="D22" s="1122"/>
      <c r="E22" s="1122"/>
      <c r="F22" s="1562" t="str">
        <f t="shared" si="1"/>
        <v>-</v>
      </c>
      <c r="G22" s="866"/>
      <c r="H22" s="867"/>
      <c r="I22" s="868"/>
      <c r="K22" s="4">
        <f t="shared" si="2"/>
        <v>0</v>
      </c>
    </row>
    <row r="23" spans="1:11">
      <c r="A23" s="898" t="s">
        <v>86</v>
      </c>
      <c r="B23" s="899" t="s">
        <v>101</v>
      </c>
      <c r="C23" s="1023">
        <v>67640</v>
      </c>
      <c r="D23" s="1123">
        <v>543225</v>
      </c>
      <c r="E23" s="1123">
        <v>543225</v>
      </c>
      <c r="F23" s="1561">
        <f t="shared" si="1"/>
        <v>1</v>
      </c>
      <c r="G23" s="869">
        <v>543125</v>
      </c>
      <c r="H23" s="870">
        <v>100</v>
      </c>
      <c r="I23" s="871"/>
      <c r="K23" s="4">
        <f t="shared" si="2"/>
        <v>0</v>
      </c>
    </row>
    <row r="24" spans="1:11" s="117" customFormat="1" ht="12.75" thickBot="1">
      <c r="A24" s="900" t="s">
        <v>332</v>
      </c>
      <c r="B24" s="901" t="s">
        <v>333</v>
      </c>
      <c r="C24" s="1022"/>
      <c r="D24" s="1124">
        <v>368854</v>
      </c>
      <c r="E24" s="1124">
        <v>368854</v>
      </c>
      <c r="F24" s="1561">
        <f t="shared" si="1"/>
        <v>1</v>
      </c>
      <c r="G24" s="902">
        <v>368854</v>
      </c>
      <c r="H24" s="903"/>
      <c r="I24" s="904"/>
      <c r="K24" s="13">
        <f t="shared" si="2"/>
        <v>0</v>
      </c>
    </row>
    <row r="25" spans="1:11" s="119" customFormat="1" ht="12.75" customHeight="1" thickBot="1">
      <c r="A25" s="884" t="s">
        <v>6</v>
      </c>
      <c r="B25" s="891" t="s">
        <v>785</v>
      </c>
      <c r="C25" s="1035">
        <f t="shared" ref="C25:I25" si="5">+C26+C27+C28+C29+C30+C31</f>
        <v>371480</v>
      </c>
      <c r="D25" s="1119">
        <f t="shared" si="5"/>
        <v>541712</v>
      </c>
      <c r="E25" s="1119">
        <f t="shared" si="5"/>
        <v>394432</v>
      </c>
      <c r="F25" s="1558">
        <f t="shared" si="1"/>
        <v>0.72812121570133204</v>
      </c>
      <c r="G25" s="110">
        <f t="shared" si="5"/>
        <v>394432</v>
      </c>
      <c r="H25" s="111">
        <f t="shared" si="5"/>
        <v>0</v>
      </c>
      <c r="I25" s="112">
        <f t="shared" si="5"/>
        <v>0</v>
      </c>
      <c r="K25" s="3">
        <f t="shared" si="2"/>
        <v>0</v>
      </c>
    </row>
    <row r="26" spans="1:11" ht="12.75" customHeight="1">
      <c r="A26" s="892" t="s">
        <v>58</v>
      </c>
      <c r="B26" s="113" t="s">
        <v>102</v>
      </c>
      <c r="C26" s="1036">
        <v>60</v>
      </c>
      <c r="D26" s="1120">
        <v>57</v>
      </c>
      <c r="E26" s="1120">
        <v>57</v>
      </c>
      <c r="F26" s="1560">
        <f t="shared" si="1"/>
        <v>1</v>
      </c>
      <c r="G26" s="114">
        <v>57</v>
      </c>
      <c r="H26" s="115"/>
      <c r="I26" s="116"/>
      <c r="K26" s="4">
        <f t="shared" si="2"/>
        <v>0</v>
      </c>
    </row>
    <row r="27" spans="1:11" ht="12.75" customHeight="1">
      <c r="A27" s="896" t="s">
        <v>59</v>
      </c>
      <c r="B27" s="897" t="s">
        <v>103</v>
      </c>
      <c r="C27" s="1038"/>
      <c r="D27" s="1122"/>
      <c r="E27" s="1122"/>
      <c r="F27" s="1562" t="str">
        <f t="shared" si="1"/>
        <v>-</v>
      </c>
      <c r="G27" s="866"/>
      <c r="H27" s="867"/>
      <c r="I27" s="868"/>
      <c r="K27" s="4">
        <f t="shared" si="2"/>
        <v>0</v>
      </c>
    </row>
    <row r="28" spans="1:11" ht="12.75" customHeight="1">
      <c r="A28" s="896" t="s">
        <v>60</v>
      </c>
      <c r="B28" s="897" t="s">
        <v>104</v>
      </c>
      <c r="C28" s="1038"/>
      <c r="D28" s="1122"/>
      <c r="E28" s="1122"/>
      <c r="F28" s="1562" t="str">
        <f t="shared" si="1"/>
        <v>-</v>
      </c>
      <c r="G28" s="866"/>
      <c r="H28" s="867"/>
      <c r="I28" s="868"/>
      <c r="K28" s="4">
        <f t="shared" si="2"/>
        <v>0</v>
      </c>
    </row>
    <row r="29" spans="1:11" ht="12.75" customHeight="1">
      <c r="A29" s="896" t="s">
        <v>180</v>
      </c>
      <c r="B29" s="897" t="s">
        <v>105</v>
      </c>
      <c r="C29" s="1038">
        <v>62000</v>
      </c>
      <c r="D29" s="1122">
        <v>66838</v>
      </c>
      <c r="E29" s="1122">
        <v>63970</v>
      </c>
      <c r="F29" s="1562">
        <f t="shared" si="1"/>
        <v>0.95709027798557711</v>
      </c>
      <c r="G29" s="866">
        <v>63970</v>
      </c>
      <c r="H29" s="867"/>
      <c r="I29" s="868"/>
      <c r="K29" s="4">
        <f t="shared" si="2"/>
        <v>0</v>
      </c>
    </row>
    <row r="30" spans="1:11" ht="12.75" customHeight="1">
      <c r="A30" s="898" t="s">
        <v>181</v>
      </c>
      <c r="B30" s="899" t="s">
        <v>106</v>
      </c>
      <c r="C30" s="1023">
        <v>307720</v>
      </c>
      <c r="D30" s="1123">
        <v>464025</v>
      </c>
      <c r="E30" s="1123">
        <v>326697</v>
      </c>
      <c r="F30" s="1561">
        <f t="shared" si="1"/>
        <v>0.7040504283174398</v>
      </c>
      <c r="G30" s="869">
        <v>326697</v>
      </c>
      <c r="H30" s="870"/>
      <c r="I30" s="871"/>
      <c r="K30" s="4">
        <f t="shared" si="2"/>
        <v>0</v>
      </c>
    </row>
    <row r="31" spans="1:11" ht="12.75" customHeight="1" thickBot="1">
      <c r="A31" s="898" t="s">
        <v>784</v>
      </c>
      <c r="B31" s="899" t="s">
        <v>786</v>
      </c>
      <c r="C31" s="1023">
        <v>1700</v>
      </c>
      <c r="D31" s="1123">
        <v>10792</v>
      </c>
      <c r="E31" s="1123">
        <v>3708</v>
      </c>
      <c r="F31" s="1561">
        <f t="shared" si="1"/>
        <v>0.34358784284655303</v>
      </c>
      <c r="G31" s="869">
        <v>3708</v>
      </c>
      <c r="H31" s="870"/>
      <c r="I31" s="871"/>
      <c r="K31" s="4">
        <f t="shared" si="2"/>
        <v>0</v>
      </c>
    </row>
    <row r="32" spans="1:11" s="119" customFormat="1" ht="12.75" customHeight="1" thickBot="1">
      <c r="A32" s="884" t="s">
        <v>3</v>
      </c>
      <c r="B32" s="891" t="s">
        <v>975</v>
      </c>
      <c r="C32" s="1035">
        <f t="shared" ref="C32:I32" si="6">+C33+C34+C35+C36+C37+C38+C39+C40+C41+C42+C43</f>
        <v>73647</v>
      </c>
      <c r="D32" s="1119">
        <f t="shared" si="6"/>
        <v>101040</v>
      </c>
      <c r="E32" s="1119">
        <f t="shared" si="6"/>
        <v>74075</v>
      </c>
      <c r="F32" s="1558">
        <f t="shared" si="1"/>
        <v>0.73312549485352341</v>
      </c>
      <c r="G32" s="110">
        <f t="shared" si="6"/>
        <v>74075</v>
      </c>
      <c r="H32" s="111">
        <f t="shared" si="6"/>
        <v>0</v>
      </c>
      <c r="I32" s="112">
        <f t="shared" si="6"/>
        <v>0</v>
      </c>
      <c r="K32" s="3">
        <f t="shared" si="2"/>
        <v>0</v>
      </c>
    </row>
    <row r="33" spans="1:11" ht="12.75" customHeight="1">
      <c r="A33" s="892" t="s">
        <v>61</v>
      </c>
      <c r="B33" s="113" t="s">
        <v>107</v>
      </c>
      <c r="C33" s="1036"/>
      <c r="D33" s="1120">
        <v>9530</v>
      </c>
      <c r="E33" s="1120">
        <v>9464</v>
      </c>
      <c r="F33" s="1560">
        <f t="shared" si="1"/>
        <v>0.99307450157397692</v>
      </c>
      <c r="G33" s="114">
        <v>9464</v>
      </c>
      <c r="H33" s="115"/>
      <c r="I33" s="116"/>
      <c r="K33" s="4">
        <f t="shared" si="2"/>
        <v>0</v>
      </c>
    </row>
    <row r="34" spans="1:11" ht="12.75" customHeight="1">
      <c r="A34" s="896" t="s">
        <v>62</v>
      </c>
      <c r="B34" s="897" t="s">
        <v>108</v>
      </c>
      <c r="C34" s="1038">
        <v>29241</v>
      </c>
      <c r="D34" s="1122">
        <v>31747</v>
      </c>
      <c r="E34" s="1122">
        <v>20327</v>
      </c>
      <c r="F34" s="1562">
        <f t="shared" si="1"/>
        <v>0.64028097143037133</v>
      </c>
      <c r="G34" s="866">
        <v>20327</v>
      </c>
      <c r="H34" s="867"/>
      <c r="I34" s="868"/>
      <c r="K34" s="4">
        <f t="shared" si="2"/>
        <v>0</v>
      </c>
    </row>
    <row r="35" spans="1:11" ht="12.75" customHeight="1">
      <c r="A35" s="896" t="s">
        <v>63</v>
      </c>
      <c r="B35" s="897" t="s">
        <v>109</v>
      </c>
      <c r="C35" s="1038"/>
      <c r="D35" s="1122">
        <v>14244</v>
      </c>
      <c r="E35" s="1122">
        <f>12023-1</f>
        <v>12022</v>
      </c>
      <c r="F35" s="1562">
        <f t="shared" si="1"/>
        <v>0.8440044931199101</v>
      </c>
      <c r="G35" s="866">
        <v>12022</v>
      </c>
      <c r="H35" s="867"/>
      <c r="I35" s="868"/>
      <c r="K35" s="4">
        <f t="shared" si="2"/>
        <v>0</v>
      </c>
    </row>
    <row r="36" spans="1:11" ht="12.75" customHeight="1">
      <c r="A36" s="896" t="s">
        <v>64</v>
      </c>
      <c r="B36" s="897" t="s">
        <v>110</v>
      </c>
      <c r="C36" s="1038">
        <v>236</v>
      </c>
      <c r="D36" s="1122">
        <v>473</v>
      </c>
      <c r="E36" s="1122">
        <v>473</v>
      </c>
      <c r="F36" s="1562">
        <f t="shared" si="1"/>
        <v>1</v>
      </c>
      <c r="G36" s="866">
        <v>473</v>
      </c>
      <c r="H36" s="867"/>
      <c r="I36" s="868"/>
      <c r="K36" s="4">
        <f t="shared" si="2"/>
        <v>0</v>
      </c>
    </row>
    <row r="37" spans="1:11" ht="12.75" customHeight="1">
      <c r="A37" s="896" t="s">
        <v>65</v>
      </c>
      <c r="B37" s="897" t="s">
        <v>111</v>
      </c>
      <c r="C37" s="1038"/>
      <c r="D37" s="1122"/>
      <c r="E37" s="1122"/>
      <c r="F37" s="1562" t="str">
        <f t="shared" si="1"/>
        <v>-</v>
      </c>
      <c r="G37" s="866"/>
      <c r="H37" s="867"/>
      <c r="I37" s="868"/>
      <c r="K37" s="4">
        <f t="shared" si="2"/>
        <v>0</v>
      </c>
    </row>
    <row r="38" spans="1:11" ht="12.75" customHeight="1">
      <c r="A38" s="896" t="s">
        <v>222</v>
      </c>
      <c r="B38" s="897" t="s">
        <v>112</v>
      </c>
      <c r="C38" s="1038">
        <v>7960</v>
      </c>
      <c r="D38" s="1122">
        <v>14853</v>
      </c>
      <c r="E38" s="1122">
        <v>11052</v>
      </c>
      <c r="F38" s="1562">
        <f t="shared" si="1"/>
        <v>0.74409210260553427</v>
      </c>
      <c r="G38" s="866">
        <v>11052</v>
      </c>
      <c r="H38" s="867"/>
      <c r="I38" s="868"/>
      <c r="K38" s="4">
        <f t="shared" si="2"/>
        <v>0</v>
      </c>
    </row>
    <row r="39" spans="1:11" ht="12.75" customHeight="1">
      <c r="A39" s="896" t="s">
        <v>223</v>
      </c>
      <c r="B39" s="897" t="s">
        <v>113</v>
      </c>
      <c r="C39" s="1038">
        <v>17263</v>
      </c>
      <c r="D39" s="1122">
        <v>19224</v>
      </c>
      <c r="E39" s="1122">
        <v>19220</v>
      </c>
      <c r="F39" s="1562">
        <f t="shared" si="1"/>
        <v>0.99979192675821893</v>
      </c>
      <c r="G39" s="866">
        <v>19220</v>
      </c>
      <c r="H39" s="867"/>
      <c r="I39" s="868"/>
      <c r="K39" s="4">
        <f t="shared" si="2"/>
        <v>0</v>
      </c>
    </row>
    <row r="40" spans="1:11" ht="12.75" customHeight="1">
      <c r="A40" s="896" t="s">
        <v>224</v>
      </c>
      <c r="B40" s="897" t="s">
        <v>985</v>
      </c>
      <c r="C40" s="1038"/>
      <c r="D40" s="1122"/>
      <c r="E40" s="1122"/>
      <c r="F40" s="1562" t="str">
        <f t="shared" si="1"/>
        <v>-</v>
      </c>
      <c r="G40" s="866"/>
      <c r="H40" s="867"/>
      <c r="I40" s="868"/>
      <c r="K40" s="4">
        <f t="shared" si="2"/>
        <v>0</v>
      </c>
    </row>
    <row r="41" spans="1:11" ht="12.75" customHeight="1">
      <c r="A41" s="896" t="s">
        <v>225</v>
      </c>
      <c r="B41" s="897" t="s">
        <v>114</v>
      </c>
      <c r="C41" s="1038"/>
      <c r="D41" s="1122"/>
      <c r="E41" s="1122"/>
      <c r="F41" s="1562" t="str">
        <f t="shared" si="1"/>
        <v>-</v>
      </c>
      <c r="G41" s="866"/>
      <c r="H41" s="867"/>
      <c r="I41" s="868"/>
      <c r="K41" s="4">
        <f t="shared" si="2"/>
        <v>0</v>
      </c>
    </row>
    <row r="42" spans="1:11" ht="12.75" customHeight="1">
      <c r="A42" s="898" t="s">
        <v>226</v>
      </c>
      <c r="B42" s="899" t="s">
        <v>902</v>
      </c>
      <c r="C42" s="1038"/>
      <c r="D42" s="1122">
        <v>154</v>
      </c>
      <c r="E42" s="1122">
        <v>154</v>
      </c>
      <c r="F42" s="1562">
        <f t="shared" si="1"/>
        <v>1</v>
      </c>
      <c r="G42" s="866">
        <v>154</v>
      </c>
      <c r="H42" s="867"/>
      <c r="I42" s="868"/>
      <c r="K42" s="4">
        <f t="shared" si="2"/>
        <v>0</v>
      </c>
    </row>
    <row r="43" spans="1:11" ht="12.75" customHeight="1" thickBot="1">
      <c r="A43" s="898" t="s">
        <v>901</v>
      </c>
      <c r="B43" s="899" t="s">
        <v>903</v>
      </c>
      <c r="C43" s="1023">
        <v>18947</v>
      </c>
      <c r="D43" s="1123">
        <v>10815</v>
      </c>
      <c r="E43" s="1123">
        <f>1362+1</f>
        <v>1363</v>
      </c>
      <c r="F43" s="1561">
        <f t="shared" si="1"/>
        <v>0.12602866389274156</v>
      </c>
      <c r="G43" s="869">
        <v>1363</v>
      </c>
      <c r="H43" s="870"/>
      <c r="I43" s="871"/>
      <c r="K43" s="4">
        <f t="shared" si="2"/>
        <v>0</v>
      </c>
    </row>
    <row r="44" spans="1:11" s="119" customFormat="1" ht="12.75" thickBot="1">
      <c r="A44" s="884" t="s">
        <v>16</v>
      </c>
      <c r="B44" s="891" t="s">
        <v>976</v>
      </c>
      <c r="C44" s="1035">
        <f t="shared" ref="C44:I44" si="7">+C45+C46+C47+C48+C49</f>
        <v>5800</v>
      </c>
      <c r="D44" s="1119">
        <f t="shared" si="7"/>
        <v>54812</v>
      </c>
      <c r="E44" s="1119">
        <f t="shared" si="7"/>
        <v>47801</v>
      </c>
      <c r="F44" s="1558">
        <f t="shared" si="1"/>
        <v>0.87209005327300593</v>
      </c>
      <c r="G44" s="110">
        <f t="shared" si="7"/>
        <v>47801</v>
      </c>
      <c r="H44" s="111">
        <f t="shared" si="7"/>
        <v>0</v>
      </c>
      <c r="I44" s="112">
        <f t="shared" si="7"/>
        <v>0</v>
      </c>
      <c r="K44" s="3">
        <f t="shared" si="2"/>
        <v>0</v>
      </c>
    </row>
    <row r="45" spans="1:11" ht="12.75" customHeight="1">
      <c r="A45" s="892" t="s">
        <v>227</v>
      </c>
      <c r="B45" s="113" t="s">
        <v>115</v>
      </c>
      <c r="C45" s="1036"/>
      <c r="D45" s="1120"/>
      <c r="E45" s="1120"/>
      <c r="F45" s="1560" t="str">
        <f t="shared" si="1"/>
        <v>-</v>
      </c>
      <c r="G45" s="114"/>
      <c r="H45" s="115"/>
      <c r="I45" s="116"/>
      <c r="K45" s="4">
        <f t="shared" si="2"/>
        <v>0</v>
      </c>
    </row>
    <row r="46" spans="1:11" ht="12.75" customHeight="1">
      <c r="A46" s="892" t="s">
        <v>228</v>
      </c>
      <c r="B46" s="113" t="s">
        <v>904</v>
      </c>
      <c r="C46" s="1038"/>
      <c r="D46" s="1122"/>
      <c r="E46" s="1122"/>
      <c r="F46" s="1560" t="str">
        <f t="shared" si="1"/>
        <v>-</v>
      </c>
      <c r="G46" s="866"/>
      <c r="H46" s="867"/>
      <c r="I46" s="868"/>
      <c r="K46" s="4">
        <f t="shared" si="2"/>
        <v>0</v>
      </c>
    </row>
    <row r="47" spans="1:11" ht="12.75" customHeight="1">
      <c r="A47" s="892" t="s">
        <v>229</v>
      </c>
      <c r="B47" s="113" t="s">
        <v>905</v>
      </c>
      <c r="C47" s="1023"/>
      <c r="D47" s="1123"/>
      <c r="E47" s="1123"/>
      <c r="F47" s="1560" t="str">
        <f t="shared" si="1"/>
        <v>-</v>
      </c>
      <c r="G47" s="869"/>
      <c r="H47" s="870"/>
      <c r="I47" s="871"/>
      <c r="K47" s="4">
        <f t="shared" si="2"/>
        <v>0</v>
      </c>
    </row>
    <row r="48" spans="1:11" ht="12.75" customHeight="1">
      <c r="A48" s="896" t="s">
        <v>257</v>
      </c>
      <c r="B48" s="897" t="s">
        <v>906</v>
      </c>
      <c r="C48" s="1038">
        <v>4000</v>
      </c>
      <c r="D48" s="1122">
        <v>51011</v>
      </c>
      <c r="E48" s="1122">
        <v>44885</v>
      </c>
      <c r="F48" s="1562">
        <f t="shared" si="1"/>
        <v>0.87990825508223713</v>
      </c>
      <c r="G48" s="866">
        <v>44885</v>
      </c>
      <c r="H48" s="867"/>
      <c r="I48" s="868"/>
      <c r="K48" s="4">
        <f t="shared" si="2"/>
        <v>0</v>
      </c>
    </row>
    <row r="49" spans="1:11" ht="12.75" customHeight="1" thickBot="1">
      <c r="A49" s="898" t="s">
        <v>258</v>
      </c>
      <c r="B49" s="899" t="s">
        <v>907</v>
      </c>
      <c r="C49" s="1023">
        <v>1800</v>
      </c>
      <c r="D49" s="1123">
        <v>3801</v>
      </c>
      <c r="E49" s="1123">
        <v>2916</v>
      </c>
      <c r="F49" s="1561">
        <f t="shared" si="1"/>
        <v>0.76716653512233624</v>
      </c>
      <c r="G49" s="869">
        <v>2916</v>
      </c>
      <c r="H49" s="870"/>
      <c r="I49" s="871"/>
      <c r="K49" s="4">
        <f t="shared" si="2"/>
        <v>0</v>
      </c>
    </row>
    <row r="50" spans="1:11" s="119" customFormat="1" ht="12.75" thickBot="1">
      <c r="A50" s="884" t="s">
        <v>15</v>
      </c>
      <c r="B50" s="905" t="s">
        <v>300</v>
      </c>
      <c r="C50" s="1035">
        <f t="shared" ref="C50:I50" si="8">+C51+C58+C64</f>
        <v>389249</v>
      </c>
      <c r="D50" s="1119">
        <f t="shared" si="8"/>
        <v>1227138</v>
      </c>
      <c r="E50" s="1119">
        <f t="shared" si="8"/>
        <v>1220568</v>
      </c>
      <c r="F50" s="1558">
        <f t="shared" si="1"/>
        <v>0.9946460789251087</v>
      </c>
      <c r="G50" s="110">
        <f t="shared" si="8"/>
        <v>1219730</v>
      </c>
      <c r="H50" s="111">
        <f t="shared" si="8"/>
        <v>838</v>
      </c>
      <c r="I50" s="112">
        <f t="shared" si="8"/>
        <v>0</v>
      </c>
      <c r="K50" s="3">
        <f t="shared" si="2"/>
        <v>0</v>
      </c>
    </row>
    <row r="51" spans="1:11" s="119" customFormat="1" ht="12.75" customHeight="1" thickBot="1">
      <c r="A51" s="884" t="s">
        <v>14</v>
      </c>
      <c r="B51" s="891" t="s">
        <v>301</v>
      </c>
      <c r="C51" s="1035">
        <f t="shared" ref="C51:I51" si="9">+C52+C53+C54+C55+C56</f>
        <v>377399</v>
      </c>
      <c r="D51" s="1119">
        <f t="shared" si="9"/>
        <v>1215708</v>
      </c>
      <c r="E51" s="1119">
        <f t="shared" si="9"/>
        <v>1215708</v>
      </c>
      <c r="F51" s="1558">
        <f t="shared" si="1"/>
        <v>1</v>
      </c>
      <c r="G51" s="110">
        <f t="shared" si="9"/>
        <v>1215708</v>
      </c>
      <c r="H51" s="111">
        <f t="shared" si="9"/>
        <v>0</v>
      </c>
      <c r="I51" s="112">
        <f t="shared" si="9"/>
        <v>0</v>
      </c>
      <c r="K51" s="3">
        <f t="shared" si="2"/>
        <v>0</v>
      </c>
    </row>
    <row r="52" spans="1:11">
      <c r="A52" s="892" t="s">
        <v>185</v>
      </c>
      <c r="B52" s="113" t="s">
        <v>116</v>
      </c>
      <c r="C52" s="1036"/>
      <c r="D52" s="1120">
        <v>382626</v>
      </c>
      <c r="E52" s="1120">
        <v>382626</v>
      </c>
      <c r="F52" s="1560">
        <f t="shared" si="1"/>
        <v>1</v>
      </c>
      <c r="G52" s="114">
        <v>382626</v>
      </c>
      <c r="H52" s="115"/>
      <c r="I52" s="116"/>
      <c r="K52" s="4">
        <f t="shared" si="2"/>
        <v>0</v>
      </c>
    </row>
    <row r="53" spans="1:11">
      <c r="A53" s="896" t="s">
        <v>186</v>
      </c>
      <c r="B53" s="897" t="s">
        <v>117</v>
      </c>
      <c r="C53" s="1038"/>
      <c r="D53" s="1122"/>
      <c r="E53" s="1122"/>
      <c r="F53" s="1562" t="str">
        <f t="shared" si="1"/>
        <v>-</v>
      </c>
      <c r="G53" s="866"/>
      <c r="H53" s="867"/>
      <c r="I53" s="868"/>
      <c r="K53" s="4">
        <f t="shared" si="2"/>
        <v>0</v>
      </c>
    </row>
    <row r="54" spans="1:11">
      <c r="A54" s="896" t="s">
        <v>187</v>
      </c>
      <c r="B54" s="897" t="s">
        <v>118</v>
      </c>
      <c r="C54" s="1038"/>
      <c r="D54" s="1122"/>
      <c r="E54" s="1122"/>
      <c r="F54" s="1562" t="str">
        <f t="shared" si="1"/>
        <v>-</v>
      </c>
      <c r="G54" s="866"/>
      <c r="H54" s="867"/>
      <c r="I54" s="868"/>
      <c r="K54" s="4">
        <f t="shared" si="2"/>
        <v>0</v>
      </c>
    </row>
    <row r="55" spans="1:11">
      <c r="A55" s="896" t="s">
        <v>188</v>
      </c>
      <c r="B55" s="897" t="s">
        <v>119</v>
      </c>
      <c r="C55" s="1038"/>
      <c r="D55" s="1122"/>
      <c r="E55" s="1122"/>
      <c r="F55" s="1562" t="str">
        <f t="shared" si="1"/>
        <v>-</v>
      </c>
      <c r="G55" s="866"/>
      <c r="H55" s="867"/>
      <c r="I55" s="868"/>
      <c r="K55" s="4">
        <f t="shared" si="2"/>
        <v>0</v>
      </c>
    </row>
    <row r="56" spans="1:11">
      <c r="A56" s="898" t="s">
        <v>189</v>
      </c>
      <c r="B56" s="899" t="s">
        <v>120</v>
      </c>
      <c r="C56" s="1023">
        <v>377399</v>
      </c>
      <c r="D56" s="1123">
        <v>833082</v>
      </c>
      <c r="E56" s="1123">
        <v>833082</v>
      </c>
      <c r="F56" s="1561">
        <f t="shared" si="1"/>
        <v>1</v>
      </c>
      <c r="G56" s="869">
        <v>833082</v>
      </c>
      <c r="H56" s="870"/>
      <c r="I56" s="871"/>
      <c r="K56" s="4">
        <f t="shared" si="2"/>
        <v>0</v>
      </c>
    </row>
    <row r="57" spans="1:11" s="117" customFormat="1" ht="12.75" thickBot="1">
      <c r="A57" s="900" t="s">
        <v>334</v>
      </c>
      <c r="B57" s="901" t="s">
        <v>338</v>
      </c>
      <c r="C57" s="1022"/>
      <c r="D57" s="1124">
        <f>(142714+4539+204051+477168)</f>
        <v>828472</v>
      </c>
      <c r="E57" s="1124">
        <v>828472</v>
      </c>
      <c r="F57" s="1561">
        <f t="shared" si="1"/>
        <v>1</v>
      </c>
      <c r="G57" s="902">
        <v>828472</v>
      </c>
      <c r="H57" s="903"/>
      <c r="I57" s="904"/>
      <c r="K57" s="13">
        <f t="shared" si="2"/>
        <v>0</v>
      </c>
    </row>
    <row r="58" spans="1:11" s="119" customFormat="1" ht="12.75" customHeight="1" thickBot="1">
      <c r="A58" s="884" t="s">
        <v>13</v>
      </c>
      <c r="B58" s="891" t="s">
        <v>302</v>
      </c>
      <c r="C58" s="1035">
        <f t="shared" ref="C58:I58" si="10">+C59+C60+C61+C62+C63</f>
        <v>10350</v>
      </c>
      <c r="D58" s="1119">
        <f t="shared" si="10"/>
        <v>4878</v>
      </c>
      <c r="E58" s="1119">
        <f t="shared" si="10"/>
        <v>4022</v>
      </c>
      <c r="F58" s="1558">
        <f t="shared" si="1"/>
        <v>0.82451824518245187</v>
      </c>
      <c r="G58" s="110">
        <f t="shared" si="10"/>
        <v>4022</v>
      </c>
      <c r="H58" s="111">
        <f t="shared" si="10"/>
        <v>0</v>
      </c>
      <c r="I58" s="112">
        <f t="shared" si="10"/>
        <v>0</v>
      </c>
      <c r="K58" s="3">
        <f t="shared" si="2"/>
        <v>0</v>
      </c>
    </row>
    <row r="59" spans="1:11" ht="12.75" customHeight="1">
      <c r="A59" s="892" t="s">
        <v>66</v>
      </c>
      <c r="B59" s="113" t="s">
        <v>121</v>
      </c>
      <c r="C59" s="1036"/>
      <c r="D59" s="1120"/>
      <c r="E59" s="1120"/>
      <c r="F59" s="1560" t="str">
        <f t="shared" si="1"/>
        <v>-</v>
      </c>
      <c r="G59" s="114"/>
      <c r="H59" s="115"/>
      <c r="I59" s="116"/>
      <c r="K59" s="4">
        <f t="shared" si="2"/>
        <v>0</v>
      </c>
    </row>
    <row r="60" spans="1:11" ht="12.75" customHeight="1">
      <c r="A60" s="896" t="s">
        <v>67</v>
      </c>
      <c r="B60" s="897" t="s">
        <v>122</v>
      </c>
      <c r="C60" s="1038">
        <v>10350</v>
      </c>
      <c r="D60" s="1122">
        <v>4463</v>
      </c>
      <c r="E60" s="1122">
        <v>3607</v>
      </c>
      <c r="F60" s="1562">
        <f t="shared" si="1"/>
        <v>0.80820076181940403</v>
      </c>
      <c r="G60" s="866">
        <v>3607</v>
      </c>
      <c r="H60" s="867"/>
      <c r="I60" s="868"/>
      <c r="K60" s="4">
        <f t="shared" si="2"/>
        <v>0</v>
      </c>
    </row>
    <row r="61" spans="1:11" ht="12.75" customHeight="1">
      <c r="A61" s="896" t="s">
        <v>68</v>
      </c>
      <c r="B61" s="897" t="s">
        <v>123</v>
      </c>
      <c r="C61" s="1038"/>
      <c r="D61" s="1122">
        <v>415</v>
      </c>
      <c r="E61" s="1122">
        <v>415</v>
      </c>
      <c r="F61" s="1562">
        <f t="shared" si="1"/>
        <v>1</v>
      </c>
      <c r="G61" s="866">
        <v>415</v>
      </c>
      <c r="H61" s="867"/>
      <c r="I61" s="868"/>
      <c r="K61" s="4">
        <f t="shared" si="2"/>
        <v>0</v>
      </c>
    </row>
    <row r="62" spans="1:11" ht="12.75" customHeight="1">
      <c r="A62" s="896" t="s">
        <v>230</v>
      </c>
      <c r="B62" s="897" t="s">
        <v>124</v>
      </c>
      <c r="C62" s="1038"/>
      <c r="D62" s="1122"/>
      <c r="E62" s="1122"/>
      <c r="F62" s="1562" t="str">
        <f t="shared" si="1"/>
        <v>-</v>
      </c>
      <c r="G62" s="866"/>
      <c r="H62" s="867"/>
      <c r="I62" s="868"/>
      <c r="K62" s="4">
        <f t="shared" si="2"/>
        <v>0</v>
      </c>
    </row>
    <row r="63" spans="1:11" ht="12.75" customHeight="1" thickBot="1">
      <c r="A63" s="898" t="s">
        <v>231</v>
      </c>
      <c r="B63" s="899" t="s">
        <v>125</v>
      </c>
      <c r="C63" s="1023"/>
      <c r="D63" s="1123"/>
      <c r="E63" s="1123"/>
      <c r="F63" s="1561" t="str">
        <f t="shared" si="1"/>
        <v>-</v>
      </c>
      <c r="G63" s="869"/>
      <c r="H63" s="870"/>
      <c r="I63" s="871"/>
      <c r="K63" s="4">
        <f t="shared" si="2"/>
        <v>0</v>
      </c>
    </row>
    <row r="64" spans="1:11" s="119" customFormat="1" ht="12.75" thickBot="1">
      <c r="A64" s="884" t="s">
        <v>12</v>
      </c>
      <c r="B64" s="891" t="s">
        <v>911</v>
      </c>
      <c r="C64" s="1035">
        <f t="shared" ref="C64:I64" si="11">+C65+C66+C67+C68+C69</f>
        <v>1500</v>
      </c>
      <c r="D64" s="1119">
        <f t="shared" si="11"/>
        <v>6552</v>
      </c>
      <c r="E64" s="1119">
        <f t="shared" si="11"/>
        <v>838</v>
      </c>
      <c r="F64" s="1558">
        <f t="shared" si="1"/>
        <v>0.12789987789987789</v>
      </c>
      <c r="G64" s="110">
        <f t="shared" si="11"/>
        <v>0</v>
      </c>
      <c r="H64" s="111">
        <f t="shared" si="11"/>
        <v>838</v>
      </c>
      <c r="I64" s="112">
        <f t="shared" si="11"/>
        <v>0</v>
      </c>
      <c r="K64" s="3">
        <f t="shared" si="2"/>
        <v>0</v>
      </c>
    </row>
    <row r="65" spans="1:11">
      <c r="A65" s="892" t="s">
        <v>69</v>
      </c>
      <c r="B65" s="113" t="s">
        <v>126</v>
      </c>
      <c r="C65" s="1036"/>
      <c r="D65" s="1120"/>
      <c r="E65" s="1120"/>
      <c r="F65" s="1560" t="str">
        <f t="shared" si="1"/>
        <v>-</v>
      </c>
      <c r="G65" s="114"/>
      <c r="H65" s="115"/>
      <c r="I65" s="116"/>
      <c r="K65" s="4">
        <f t="shared" si="2"/>
        <v>0</v>
      </c>
    </row>
    <row r="66" spans="1:11">
      <c r="A66" s="892" t="s">
        <v>70</v>
      </c>
      <c r="B66" s="113" t="s">
        <v>912</v>
      </c>
      <c r="C66" s="1038"/>
      <c r="D66" s="1122"/>
      <c r="E66" s="1122"/>
      <c r="F66" s="1560" t="str">
        <f t="shared" si="1"/>
        <v>-</v>
      </c>
      <c r="G66" s="866"/>
      <c r="H66" s="867"/>
      <c r="I66" s="868"/>
      <c r="K66" s="4">
        <f t="shared" si="2"/>
        <v>0</v>
      </c>
    </row>
    <row r="67" spans="1:11">
      <c r="A67" s="892" t="s">
        <v>71</v>
      </c>
      <c r="B67" s="113" t="s">
        <v>913</v>
      </c>
      <c r="C67" s="1023"/>
      <c r="D67" s="1123"/>
      <c r="E67" s="1123"/>
      <c r="F67" s="1560" t="str">
        <f t="shared" si="1"/>
        <v>-</v>
      </c>
      <c r="G67" s="869"/>
      <c r="H67" s="870"/>
      <c r="I67" s="871"/>
      <c r="K67" s="4">
        <f t="shared" si="2"/>
        <v>0</v>
      </c>
    </row>
    <row r="68" spans="1:11">
      <c r="A68" s="896" t="s">
        <v>72</v>
      </c>
      <c r="B68" s="897" t="s">
        <v>909</v>
      </c>
      <c r="C68" s="1038"/>
      <c r="D68" s="1122">
        <v>6517</v>
      </c>
      <c r="E68" s="1122">
        <v>838</v>
      </c>
      <c r="F68" s="1562">
        <f t="shared" si="1"/>
        <v>0.1285867730550867</v>
      </c>
      <c r="G68" s="866"/>
      <c r="H68" s="867">
        <v>838</v>
      </c>
      <c r="I68" s="868"/>
      <c r="K68" s="4">
        <f t="shared" si="2"/>
        <v>0</v>
      </c>
    </row>
    <row r="69" spans="1:11" ht="12.75" thickBot="1">
      <c r="A69" s="898" t="s">
        <v>908</v>
      </c>
      <c r="B69" s="899" t="s">
        <v>910</v>
      </c>
      <c r="C69" s="1023">
        <v>1500</v>
      </c>
      <c r="D69" s="1123">
        <v>35</v>
      </c>
      <c r="E69" s="1123"/>
      <c r="F69" s="1561">
        <f t="shared" si="1"/>
        <v>0</v>
      </c>
      <c r="G69" s="869"/>
      <c r="H69" s="870"/>
      <c r="I69" s="871"/>
      <c r="K69" s="4">
        <f t="shared" si="2"/>
        <v>0</v>
      </c>
    </row>
    <row r="70" spans="1:11" s="119" customFormat="1" ht="12.75" thickBot="1">
      <c r="A70" s="884" t="s">
        <v>11</v>
      </c>
      <c r="B70" s="905" t="s">
        <v>303</v>
      </c>
      <c r="C70" s="1035">
        <f t="shared" ref="C70:I70" si="12">+C10+C50</f>
        <v>1799742</v>
      </c>
      <c r="D70" s="1119">
        <f t="shared" si="12"/>
        <v>3378207</v>
      </c>
      <c r="E70" s="1119">
        <f t="shared" si="12"/>
        <v>3190381</v>
      </c>
      <c r="F70" s="1558">
        <f t="shared" si="1"/>
        <v>0.94440068355787554</v>
      </c>
      <c r="G70" s="110">
        <f t="shared" si="12"/>
        <v>3189443</v>
      </c>
      <c r="H70" s="111">
        <f t="shared" si="12"/>
        <v>938</v>
      </c>
      <c r="I70" s="112">
        <f t="shared" si="12"/>
        <v>0</v>
      </c>
      <c r="K70" s="3">
        <f t="shared" si="2"/>
        <v>0</v>
      </c>
    </row>
    <row r="71" spans="1:11" s="119" customFormat="1" ht="12.75" thickBot="1">
      <c r="A71" s="884" t="s">
        <v>10</v>
      </c>
      <c r="B71" s="906" t="s">
        <v>304</v>
      </c>
      <c r="C71" s="1035">
        <f t="shared" ref="C71:I71" si="13">+C72</f>
        <v>2738772</v>
      </c>
      <c r="D71" s="1119">
        <f t="shared" si="13"/>
        <v>649653</v>
      </c>
      <c r="E71" s="1119">
        <f t="shared" si="13"/>
        <v>649653</v>
      </c>
      <c r="F71" s="1558">
        <f t="shared" si="1"/>
        <v>1</v>
      </c>
      <c r="G71" s="110">
        <f t="shared" si="13"/>
        <v>649653</v>
      </c>
      <c r="H71" s="111">
        <f t="shared" si="13"/>
        <v>0</v>
      </c>
      <c r="I71" s="112">
        <f t="shared" si="13"/>
        <v>0</v>
      </c>
      <c r="K71" s="3">
        <f t="shared" si="2"/>
        <v>0</v>
      </c>
    </row>
    <row r="72" spans="1:11" s="119" customFormat="1" ht="12.75" thickBot="1">
      <c r="A72" s="884" t="s">
        <v>9</v>
      </c>
      <c r="B72" s="891" t="s">
        <v>920</v>
      </c>
      <c r="C72" s="1035">
        <f t="shared" ref="C72:I72" si="14">+C73+C83+C84+C85</f>
        <v>2738772</v>
      </c>
      <c r="D72" s="1119">
        <f t="shared" si="14"/>
        <v>649653</v>
      </c>
      <c r="E72" s="1119">
        <f t="shared" si="14"/>
        <v>649653</v>
      </c>
      <c r="F72" s="1558">
        <f t="shared" si="1"/>
        <v>1</v>
      </c>
      <c r="G72" s="110">
        <f t="shared" si="14"/>
        <v>649653</v>
      </c>
      <c r="H72" s="111">
        <f t="shared" si="14"/>
        <v>0</v>
      </c>
      <c r="I72" s="112">
        <f t="shared" si="14"/>
        <v>0</v>
      </c>
      <c r="K72" s="3">
        <f t="shared" si="2"/>
        <v>0</v>
      </c>
    </row>
    <row r="73" spans="1:11">
      <c r="A73" s="892" t="s">
        <v>73</v>
      </c>
      <c r="B73" s="113" t="s">
        <v>915</v>
      </c>
      <c r="C73" s="1036">
        <f t="shared" ref="C73:I73" si="15">+C74+C75+C76+C77+C78+C79+C80+C81+C82</f>
        <v>2738772</v>
      </c>
      <c r="D73" s="1120">
        <f t="shared" si="15"/>
        <v>649653</v>
      </c>
      <c r="E73" s="1120">
        <f t="shared" si="15"/>
        <v>649653</v>
      </c>
      <c r="F73" s="1560">
        <f t="shared" si="1"/>
        <v>1</v>
      </c>
      <c r="G73" s="114">
        <f t="shared" si="15"/>
        <v>649653</v>
      </c>
      <c r="H73" s="115">
        <f t="shared" si="15"/>
        <v>0</v>
      </c>
      <c r="I73" s="116">
        <f t="shared" si="15"/>
        <v>0</v>
      </c>
      <c r="K73" s="4">
        <f t="shared" si="2"/>
        <v>0</v>
      </c>
    </row>
    <row r="74" spans="1:11" s="117" customFormat="1">
      <c r="A74" s="108" t="s">
        <v>196</v>
      </c>
      <c r="B74" s="109" t="s">
        <v>914</v>
      </c>
      <c r="C74" s="1037"/>
      <c r="D74" s="1121">
        <v>65277</v>
      </c>
      <c r="E74" s="1121">
        <v>65277</v>
      </c>
      <c r="F74" s="1562">
        <f t="shared" ref="F74:F102" si="16">IF(ISERROR(E74/D74),"-",E74/D74)</f>
        <v>1</v>
      </c>
      <c r="G74" s="656">
        <v>65277</v>
      </c>
      <c r="H74" s="657"/>
      <c r="I74" s="658"/>
      <c r="K74" s="13">
        <f t="shared" ref="K74:K102" si="17">+E74-G74-H74-I74</f>
        <v>0</v>
      </c>
    </row>
    <row r="75" spans="1:11" s="117" customFormat="1">
      <c r="A75" s="108" t="s">
        <v>197</v>
      </c>
      <c r="B75" s="109" t="s">
        <v>247</v>
      </c>
      <c r="C75" s="1037"/>
      <c r="D75" s="1121"/>
      <c r="E75" s="1121"/>
      <c r="F75" s="1562" t="str">
        <f t="shared" si="16"/>
        <v>-</v>
      </c>
      <c r="G75" s="656"/>
      <c r="H75" s="657"/>
      <c r="I75" s="658"/>
      <c r="K75" s="13">
        <f t="shared" si="17"/>
        <v>0</v>
      </c>
    </row>
    <row r="76" spans="1:11" s="117" customFormat="1">
      <c r="A76" s="108" t="s">
        <v>198</v>
      </c>
      <c r="B76" s="109" t="s">
        <v>248</v>
      </c>
      <c r="C76" s="1037">
        <v>2738772</v>
      </c>
      <c r="D76" s="1121">
        <f>3046223+1-D91</f>
        <v>553930</v>
      </c>
      <c r="E76" s="1121">
        <f>3046223+1-E91</f>
        <v>553930</v>
      </c>
      <c r="F76" s="1562">
        <f t="shared" si="16"/>
        <v>1</v>
      </c>
      <c r="G76" s="656">
        <v>553930</v>
      </c>
      <c r="H76" s="657"/>
      <c r="I76" s="658"/>
      <c r="K76" s="13">
        <f t="shared" si="17"/>
        <v>0</v>
      </c>
    </row>
    <row r="77" spans="1:11" s="117" customFormat="1">
      <c r="A77" s="108" t="s">
        <v>199</v>
      </c>
      <c r="B77" s="109" t="s">
        <v>249</v>
      </c>
      <c r="C77" s="1037"/>
      <c r="D77" s="1121">
        <v>30446</v>
      </c>
      <c r="E77" s="1121">
        <v>30446</v>
      </c>
      <c r="F77" s="1562">
        <f t="shared" si="16"/>
        <v>1</v>
      </c>
      <c r="G77" s="656">
        <v>30446</v>
      </c>
      <c r="H77" s="657"/>
      <c r="I77" s="658"/>
      <c r="K77" s="13">
        <f t="shared" si="17"/>
        <v>0</v>
      </c>
    </row>
    <row r="78" spans="1:11" s="117" customFormat="1">
      <c r="A78" s="108" t="s">
        <v>200</v>
      </c>
      <c r="B78" s="109" t="s">
        <v>250</v>
      </c>
      <c r="C78" s="1037"/>
      <c r="D78" s="1121"/>
      <c r="E78" s="1121"/>
      <c r="F78" s="1562" t="str">
        <f t="shared" si="16"/>
        <v>-</v>
      </c>
      <c r="G78" s="656"/>
      <c r="H78" s="657"/>
      <c r="I78" s="658"/>
      <c r="K78" s="13">
        <f t="shared" si="17"/>
        <v>0</v>
      </c>
    </row>
    <row r="79" spans="1:11" s="117" customFormat="1">
      <c r="A79" s="108" t="s">
        <v>201</v>
      </c>
      <c r="B79" s="109" t="s">
        <v>251</v>
      </c>
      <c r="C79" s="1037"/>
      <c r="D79" s="1121"/>
      <c r="E79" s="1121"/>
      <c r="F79" s="1569" t="str">
        <f t="shared" si="16"/>
        <v>-</v>
      </c>
      <c r="G79" s="656"/>
      <c r="H79" s="657"/>
      <c r="I79" s="658"/>
      <c r="K79" s="117">
        <f t="shared" si="17"/>
        <v>0</v>
      </c>
    </row>
    <row r="80" spans="1:11" s="117" customFormat="1">
      <c r="A80" s="108" t="s">
        <v>204</v>
      </c>
      <c r="B80" s="109" t="s">
        <v>252</v>
      </c>
      <c r="C80" s="1037"/>
      <c r="D80" s="1121"/>
      <c r="E80" s="1121"/>
      <c r="F80" s="1562" t="str">
        <f t="shared" si="16"/>
        <v>-</v>
      </c>
      <c r="G80" s="656"/>
      <c r="H80" s="657"/>
      <c r="I80" s="658"/>
      <c r="K80" s="117">
        <f t="shared" si="17"/>
        <v>0</v>
      </c>
    </row>
    <row r="81" spans="1:11" s="117" customFormat="1">
      <c r="A81" s="108" t="s">
        <v>202</v>
      </c>
      <c r="B81" s="109" t="s">
        <v>245</v>
      </c>
      <c r="C81" s="1037"/>
      <c r="D81" s="1121"/>
      <c r="E81" s="1121"/>
      <c r="F81" s="1562" t="str">
        <f t="shared" si="16"/>
        <v>-</v>
      </c>
      <c r="G81" s="656"/>
      <c r="H81" s="657"/>
      <c r="I81" s="658"/>
      <c r="K81" s="117">
        <f t="shared" si="17"/>
        <v>0</v>
      </c>
    </row>
    <row r="82" spans="1:11" s="117" customFormat="1">
      <c r="A82" s="108" t="s">
        <v>916</v>
      </c>
      <c r="B82" s="109" t="s">
        <v>917</v>
      </c>
      <c r="C82" s="1037"/>
      <c r="D82" s="1121"/>
      <c r="E82" s="1121"/>
      <c r="F82" s="1562" t="str">
        <f t="shared" si="16"/>
        <v>-</v>
      </c>
      <c r="G82" s="656"/>
      <c r="H82" s="657"/>
      <c r="I82" s="658"/>
      <c r="K82" s="117">
        <f t="shared" si="17"/>
        <v>0</v>
      </c>
    </row>
    <row r="83" spans="1:11">
      <c r="A83" s="896" t="s">
        <v>74</v>
      </c>
      <c r="B83" s="897" t="s">
        <v>243</v>
      </c>
      <c r="C83" s="1038"/>
      <c r="D83" s="1122"/>
      <c r="E83" s="1122"/>
      <c r="F83" s="1562" t="str">
        <f t="shared" si="16"/>
        <v>-</v>
      </c>
      <c r="G83" s="866"/>
      <c r="H83" s="867"/>
      <c r="I83" s="868"/>
      <c r="K83" s="118">
        <f t="shared" si="17"/>
        <v>0</v>
      </c>
    </row>
    <row r="84" spans="1:11">
      <c r="A84" s="898" t="s">
        <v>203</v>
      </c>
      <c r="B84" s="899" t="s">
        <v>244</v>
      </c>
      <c r="C84" s="1023"/>
      <c r="D84" s="1123"/>
      <c r="E84" s="1123"/>
      <c r="F84" s="1561" t="str">
        <f t="shared" si="16"/>
        <v>-</v>
      </c>
      <c r="G84" s="869"/>
      <c r="H84" s="870"/>
      <c r="I84" s="871"/>
      <c r="K84" s="118">
        <f t="shared" si="17"/>
        <v>0</v>
      </c>
    </row>
    <row r="85" spans="1:11" ht="12.75" thickBot="1">
      <c r="A85" s="898" t="s">
        <v>918</v>
      </c>
      <c r="B85" s="899" t="s">
        <v>919</v>
      </c>
      <c r="C85" s="1023"/>
      <c r="D85" s="1123"/>
      <c r="E85" s="1123"/>
      <c r="F85" s="1561" t="str">
        <f t="shared" si="16"/>
        <v>-</v>
      </c>
      <c r="G85" s="869"/>
      <c r="H85" s="870"/>
      <c r="I85" s="871"/>
      <c r="K85" s="118">
        <f t="shared" si="17"/>
        <v>0</v>
      </c>
    </row>
    <row r="86" spans="1:11" s="119" customFormat="1" ht="12.75" thickBot="1">
      <c r="A86" s="884" t="s">
        <v>45</v>
      </c>
      <c r="B86" s="906" t="s">
        <v>305</v>
      </c>
      <c r="C86" s="1035">
        <f t="shared" ref="C86:I86" si="18">+C87</f>
        <v>9999</v>
      </c>
      <c r="D86" s="1119">
        <f t="shared" si="18"/>
        <v>2492294</v>
      </c>
      <c r="E86" s="1119">
        <f t="shared" si="18"/>
        <v>2492294</v>
      </c>
      <c r="F86" s="1558">
        <f t="shared" si="16"/>
        <v>1</v>
      </c>
      <c r="G86" s="110">
        <f t="shared" si="18"/>
        <v>2492294</v>
      </c>
      <c r="H86" s="111">
        <f t="shared" si="18"/>
        <v>0</v>
      </c>
      <c r="I86" s="112">
        <f t="shared" si="18"/>
        <v>0</v>
      </c>
      <c r="K86" s="119">
        <f t="shared" si="17"/>
        <v>0</v>
      </c>
    </row>
    <row r="87" spans="1:11" s="119" customFormat="1" ht="12.75" thickBot="1">
      <c r="A87" s="884" t="s">
        <v>44</v>
      </c>
      <c r="B87" s="891" t="s">
        <v>922</v>
      </c>
      <c r="C87" s="1035">
        <f t="shared" ref="C87:I87" si="19">+C88+C98+C99+C100</f>
        <v>9999</v>
      </c>
      <c r="D87" s="1119">
        <f t="shared" si="19"/>
        <v>2492294</v>
      </c>
      <c r="E87" s="1119">
        <f t="shared" si="19"/>
        <v>2492294</v>
      </c>
      <c r="F87" s="1558">
        <f t="shared" si="16"/>
        <v>1</v>
      </c>
      <c r="G87" s="110">
        <f t="shared" si="19"/>
        <v>2492294</v>
      </c>
      <c r="H87" s="111">
        <f t="shared" si="19"/>
        <v>0</v>
      </c>
      <c r="I87" s="112">
        <f t="shared" si="19"/>
        <v>0</v>
      </c>
      <c r="K87" s="119">
        <f t="shared" si="17"/>
        <v>0</v>
      </c>
    </row>
    <row r="88" spans="1:11">
      <c r="A88" s="892" t="s">
        <v>232</v>
      </c>
      <c r="B88" s="113" t="s">
        <v>977</v>
      </c>
      <c r="C88" s="1036">
        <f t="shared" ref="C88:I88" si="20">+C89+C90+C91+C92+C93+C94+C95+C96+C97</f>
        <v>9999</v>
      </c>
      <c r="D88" s="1120">
        <f t="shared" si="20"/>
        <v>2492294</v>
      </c>
      <c r="E88" s="1120">
        <f t="shared" si="20"/>
        <v>2492294</v>
      </c>
      <c r="F88" s="1560">
        <f t="shared" si="16"/>
        <v>1</v>
      </c>
      <c r="G88" s="114">
        <f t="shared" si="20"/>
        <v>2492294</v>
      </c>
      <c r="H88" s="115">
        <f t="shared" si="20"/>
        <v>0</v>
      </c>
      <c r="I88" s="116">
        <f t="shared" si="20"/>
        <v>0</v>
      </c>
      <c r="K88" s="118">
        <f t="shared" si="17"/>
        <v>0</v>
      </c>
    </row>
    <row r="89" spans="1:11" s="117" customFormat="1">
      <c r="A89" s="108" t="s">
        <v>233</v>
      </c>
      <c r="B89" s="109" t="s">
        <v>914</v>
      </c>
      <c r="C89" s="1037">
        <v>9999</v>
      </c>
      <c r="D89" s="1121">
        <v>0</v>
      </c>
      <c r="E89" s="1121"/>
      <c r="F89" s="1562" t="str">
        <f t="shared" si="16"/>
        <v>-</v>
      </c>
      <c r="G89" s="656"/>
      <c r="H89" s="657"/>
      <c r="I89" s="658"/>
      <c r="K89" s="117">
        <f t="shared" si="17"/>
        <v>0</v>
      </c>
    </row>
    <row r="90" spans="1:11" s="117" customFormat="1">
      <c r="A90" s="108" t="s">
        <v>234</v>
      </c>
      <c r="B90" s="109" t="s">
        <v>247</v>
      </c>
      <c r="C90" s="1037"/>
      <c r="D90" s="1121"/>
      <c r="E90" s="1121"/>
      <c r="F90" s="1562" t="str">
        <f t="shared" si="16"/>
        <v>-</v>
      </c>
      <c r="G90" s="656"/>
      <c r="H90" s="657"/>
      <c r="I90" s="658"/>
      <c r="K90" s="117">
        <f t="shared" si="17"/>
        <v>0</v>
      </c>
    </row>
    <row r="91" spans="1:11" s="117" customFormat="1">
      <c r="A91" s="108" t="s">
        <v>235</v>
      </c>
      <c r="B91" s="109" t="s">
        <v>248</v>
      </c>
      <c r="C91" s="1037"/>
      <c r="D91" s="1121">
        <v>2492294</v>
      </c>
      <c r="E91" s="1121">
        <v>2492294</v>
      </c>
      <c r="F91" s="1562">
        <f t="shared" si="16"/>
        <v>1</v>
      </c>
      <c r="G91" s="656">
        <v>2492294</v>
      </c>
      <c r="H91" s="657"/>
      <c r="I91" s="658"/>
      <c r="K91" s="117">
        <f t="shared" si="17"/>
        <v>0</v>
      </c>
    </row>
    <row r="92" spans="1:11" s="117" customFormat="1">
      <c r="A92" s="108" t="s">
        <v>236</v>
      </c>
      <c r="B92" s="109" t="s">
        <v>249</v>
      </c>
      <c r="C92" s="1037"/>
      <c r="D92" s="1121"/>
      <c r="E92" s="1121"/>
      <c r="F92" s="1562" t="str">
        <f t="shared" si="16"/>
        <v>-</v>
      </c>
      <c r="G92" s="656"/>
      <c r="H92" s="657"/>
      <c r="I92" s="658"/>
      <c r="K92" s="117">
        <f t="shared" si="17"/>
        <v>0</v>
      </c>
    </row>
    <row r="93" spans="1:11" s="117" customFormat="1">
      <c r="A93" s="108" t="s">
        <v>237</v>
      </c>
      <c r="B93" s="109" t="s">
        <v>250</v>
      </c>
      <c r="C93" s="1037"/>
      <c r="D93" s="1121"/>
      <c r="E93" s="1121"/>
      <c r="F93" s="1562" t="str">
        <f t="shared" si="16"/>
        <v>-</v>
      </c>
      <c r="G93" s="656"/>
      <c r="H93" s="657"/>
      <c r="I93" s="658"/>
      <c r="K93" s="117">
        <f t="shared" si="17"/>
        <v>0</v>
      </c>
    </row>
    <row r="94" spans="1:11" s="117" customFormat="1">
      <c r="A94" s="108" t="s">
        <v>238</v>
      </c>
      <c r="B94" s="109" t="s">
        <v>251</v>
      </c>
      <c r="C94" s="1037"/>
      <c r="D94" s="1121"/>
      <c r="E94" s="1121"/>
      <c r="F94" s="1569" t="str">
        <f t="shared" si="16"/>
        <v>-</v>
      </c>
      <c r="G94" s="656"/>
      <c r="H94" s="657"/>
      <c r="I94" s="658"/>
      <c r="K94" s="117">
        <f t="shared" si="17"/>
        <v>0</v>
      </c>
    </row>
    <row r="95" spans="1:11" s="117" customFormat="1">
      <c r="A95" s="108" t="s">
        <v>239</v>
      </c>
      <c r="B95" s="109" t="s">
        <v>252</v>
      </c>
      <c r="C95" s="1037"/>
      <c r="D95" s="1121"/>
      <c r="E95" s="1121"/>
      <c r="F95" s="1562" t="str">
        <f t="shared" si="16"/>
        <v>-</v>
      </c>
      <c r="G95" s="656"/>
      <c r="H95" s="657"/>
      <c r="I95" s="658"/>
      <c r="K95" s="13">
        <f t="shared" si="17"/>
        <v>0</v>
      </c>
    </row>
    <row r="96" spans="1:11" s="117" customFormat="1">
      <c r="A96" s="108" t="s">
        <v>240</v>
      </c>
      <c r="B96" s="109" t="s">
        <v>245</v>
      </c>
      <c r="C96" s="1037"/>
      <c r="D96" s="1121"/>
      <c r="E96" s="1121"/>
      <c r="F96" s="1562" t="str">
        <f t="shared" si="16"/>
        <v>-</v>
      </c>
      <c r="G96" s="656"/>
      <c r="H96" s="657"/>
      <c r="I96" s="658"/>
      <c r="K96" s="13">
        <f t="shared" si="17"/>
        <v>0</v>
      </c>
    </row>
    <row r="97" spans="1:11" s="117" customFormat="1">
      <c r="A97" s="108" t="s">
        <v>921</v>
      </c>
      <c r="B97" s="109" t="s">
        <v>917</v>
      </c>
      <c r="C97" s="1037"/>
      <c r="D97" s="1121"/>
      <c r="E97" s="1121"/>
      <c r="F97" s="1562" t="str">
        <f t="shared" si="16"/>
        <v>-</v>
      </c>
      <c r="G97" s="656"/>
      <c r="H97" s="657"/>
      <c r="I97" s="658"/>
      <c r="K97" s="13">
        <f t="shared" si="17"/>
        <v>0</v>
      </c>
    </row>
    <row r="98" spans="1:11">
      <c r="A98" s="896" t="s">
        <v>241</v>
      </c>
      <c r="B98" s="897" t="s">
        <v>243</v>
      </c>
      <c r="C98" s="1038"/>
      <c r="D98" s="1122"/>
      <c r="E98" s="1122"/>
      <c r="F98" s="1562" t="str">
        <f t="shared" si="16"/>
        <v>-</v>
      </c>
      <c r="G98" s="866"/>
      <c r="H98" s="867"/>
      <c r="I98" s="868"/>
      <c r="K98" s="4">
        <f t="shared" si="17"/>
        <v>0</v>
      </c>
    </row>
    <row r="99" spans="1:11">
      <c r="A99" s="898" t="s">
        <v>242</v>
      </c>
      <c r="B99" s="899" t="s">
        <v>244</v>
      </c>
      <c r="C99" s="1023"/>
      <c r="D99" s="1123"/>
      <c r="E99" s="1123"/>
      <c r="F99" s="1561" t="str">
        <f t="shared" si="16"/>
        <v>-</v>
      </c>
      <c r="G99" s="869"/>
      <c r="H99" s="870"/>
      <c r="I99" s="871"/>
      <c r="K99" s="4">
        <f t="shared" si="17"/>
        <v>0</v>
      </c>
    </row>
    <row r="100" spans="1:11" ht="12.75" thickBot="1">
      <c r="A100" s="898" t="s">
        <v>923</v>
      </c>
      <c r="B100" s="899" t="s">
        <v>919</v>
      </c>
      <c r="C100" s="1023"/>
      <c r="D100" s="1123"/>
      <c r="E100" s="1123"/>
      <c r="F100" s="1561" t="str">
        <f t="shared" si="16"/>
        <v>-</v>
      </c>
      <c r="G100" s="869"/>
      <c r="H100" s="870"/>
      <c r="I100" s="871"/>
      <c r="K100" s="4">
        <f t="shared" si="17"/>
        <v>0</v>
      </c>
    </row>
    <row r="101" spans="1:11" s="119" customFormat="1" ht="12.75" thickBot="1">
      <c r="A101" s="884" t="s">
        <v>43</v>
      </c>
      <c r="B101" s="905" t="s">
        <v>306</v>
      </c>
      <c r="C101" s="1035">
        <f t="shared" ref="C101:I101" si="21">+C71+C86</f>
        <v>2748771</v>
      </c>
      <c r="D101" s="1119">
        <f t="shared" si="21"/>
        <v>3141947</v>
      </c>
      <c r="E101" s="1119">
        <f t="shared" si="21"/>
        <v>3141947</v>
      </c>
      <c r="F101" s="1558">
        <f t="shared" si="16"/>
        <v>1</v>
      </c>
      <c r="G101" s="110">
        <f t="shared" si="21"/>
        <v>3141947</v>
      </c>
      <c r="H101" s="111">
        <f t="shared" si="21"/>
        <v>0</v>
      </c>
      <c r="I101" s="112">
        <f t="shared" si="21"/>
        <v>0</v>
      </c>
      <c r="K101" s="3">
        <f t="shared" si="17"/>
        <v>0</v>
      </c>
    </row>
    <row r="102" spans="1:11" s="119" customFormat="1" ht="12.75" thickBot="1">
      <c r="A102" s="907" t="s">
        <v>40</v>
      </c>
      <c r="B102" s="908" t="s">
        <v>307</v>
      </c>
      <c r="C102" s="1040">
        <f t="shared" ref="C102:I102" si="22">+C70+C101</f>
        <v>4548513</v>
      </c>
      <c r="D102" s="1125">
        <f t="shared" si="22"/>
        <v>6520154</v>
      </c>
      <c r="E102" s="1125">
        <f t="shared" si="22"/>
        <v>6332328</v>
      </c>
      <c r="F102" s="1564">
        <f t="shared" si="16"/>
        <v>0.97119301169880345</v>
      </c>
      <c r="G102" s="909">
        <f t="shared" si="22"/>
        <v>6331390</v>
      </c>
      <c r="H102" s="910">
        <f t="shared" si="22"/>
        <v>938</v>
      </c>
      <c r="I102" s="911">
        <f t="shared" si="22"/>
        <v>0</v>
      </c>
      <c r="K102" s="3">
        <f t="shared" si="17"/>
        <v>0</v>
      </c>
    </row>
    <row r="103" spans="1:11" s="119" customFormat="1">
      <c r="A103" s="912"/>
      <c r="B103" s="913"/>
      <c r="C103" s="913"/>
      <c r="D103" s="913"/>
      <c r="E103" s="913"/>
      <c r="F103" s="1548"/>
      <c r="G103" s="913"/>
      <c r="H103" s="913"/>
      <c r="I103" s="913"/>
      <c r="K103" s="3"/>
    </row>
    <row r="104" spans="1:11" s="119" customFormat="1">
      <c r="A104" s="912"/>
      <c r="B104" s="913"/>
      <c r="C104" s="913"/>
      <c r="D104" s="913"/>
      <c r="E104" s="913"/>
      <c r="F104" s="1557"/>
      <c r="G104" s="913"/>
      <c r="H104" s="913"/>
      <c r="I104" s="913"/>
      <c r="K104" s="3"/>
    </row>
    <row r="105" spans="1:11" s="874" customFormat="1" ht="15.75">
      <c r="A105" s="1794" t="s">
        <v>80</v>
      </c>
      <c r="B105" s="1794"/>
      <c r="C105" s="1794"/>
      <c r="D105" s="1794"/>
      <c r="E105" s="1794"/>
      <c r="F105" s="1794"/>
      <c r="G105" s="1794"/>
      <c r="H105" s="1794"/>
      <c r="I105" s="1794"/>
      <c r="K105" s="52"/>
    </row>
    <row r="106" spans="1:11" s="876" customFormat="1" ht="12.75" thickBot="1">
      <c r="A106" s="875" t="s">
        <v>279</v>
      </c>
      <c r="F106" s="1548"/>
      <c r="I106" s="877" t="s">
        <v>281</v>
      </c>
      <c r="K106" s="36"/>
    </row>
    <row r="107" spans="1:11" s="119" customFormat="1" ht="48.75" thickBot="1">
      <c r="A107" s="878" t="s">
        <v>17</v>
      </c>
      <c r="B107" s="914" t="s">
        <v>329</v>
      </c>
      <c r="C107" s="1572" t="s">
        <v>1553</v>
      </c>
      <c r="D107" s="1571" t="s">
        <v>1554</v>
      </c>
      <c r="E107" s="6" t="s">
        <v>2646</v>
      </c>
      <c r="F107" s="1549" t="s">
        <v>2645</v>
      </c>
      <c r="G107" s="880" t="s">
        <v>51</v>
      </c>
      <c r="H107" s="881" t="s">
        <v>52</v>
      </c>
      <c r="I107" s="882" t="s">
        <v>53</v>
      </c>
      <c r="K107" s="3"/>
    </row>
    <row r="108" spans="1:11" s="119" customFormat="1" ht="13.5" customHeight="1" thickBot="1">
      <c r="A108" s="915" t="s">
        <v>253</v>
      </c>
      <c r="B108" s="916" t="s">
        <v>254</v>
      </c>
      <c r="C108" s="1795" t="s">
        <v>255</v>
      </c>
      <c r="D108" s="1796"/>
      <c r="E108" s="1796"/>
      <c r="F108" s="1796"/>
      <c r="G108" s="1796"/>
      <c r="H108" s="1796"/>
      <c r="I108" s="1797"/>
      <c r="K108" s="3"/>
    </row>
    <row r="109" spans="1:11" s="119" customFormat="1" ht="12.75" thickBot="1">
      <c r="A109" s="884" t="s">
        <v>4</v>
      </c>
      <c r="B109" s="905" t="s">
        <v>308</v>
      </c>
      <c r="C109" s="1035">
        <f t="shared" ref="C109:I109" si="23">+C110+C114+C116+C123+C132</f>
        <v>3194324</v>
      </c>
      <c r="D109" s="1119">
        <f t="shared" si="23"/>
        <v>4231233</v>
      </c>
      <c r="E109" s="1119">
        <f t="shared" si="23"/>
        <v>1026775</v>
      </c>
      <c r="F109" s="1558">
        <f t="shared" ref="F109:F172" si="24">IF(ISERROR(E109/D109),"-",E109/D109)</f>
        <v>0.24266567215750112</v>
      </c>
      <c r="G109" s="110">
        <f t="shared" si="23"/>
        <v>1020217</v>
      </c>
      <c r="H109" s="111">
        <f t="shared" si="23"/>
        <v>6558</v>
      </c>
      <c r="I109" s="112">
        <f t="shared" si="23"/>
        <v>0</v>
      </c>
      <c r="K109" s="3">
        <f t="shared" ref="K109:K172" si="25">+E109-G109-H109-I109</f>
        <v>0</v>
      </c>
    </row>
    <row r="110" spans="1:11" s="119" customFormat="1" ht="12.75" thickBot="1">
      <c r="A110" s="884" t="s">
        <v>5</v>
      </c>
      <c r="B110" s="891" t="s">
        <v>309</v>
      </c>
      <c r="C110" s="1035">
        <f t="shared" ref="C110:I110" si="26">+C112+C113</f>
        <v>59779</v>
      </c>
      <c r="D110" s="1119">
        <f t="shared" si="26"/>
        <v>306050</v>
      </c>
      <c r="E110" s="1119">
        <f t="shared" si="26"/>
        <v>303189</v>
      </c>
      <c r="F110" s="1558">
        <f t="shared" si="24"/>
        <v>0.99065185427217772</v>
      </c>
      <c r="G110" s="110">
        <f t="shared" si="26"/>
        <v>303189</v>
      </c>
      <c r="H110" s="111">
        <f t="shared" si="26"/>
        <v>0</v>
      </c>
      <c r="I110" s="112">
        <f t="shared" si="26"/>
        <v>0</v>
      </c>
      <c r="K110" s="3">
        <f t="shared" si="25"/>
        <v>0</v>
      </c>
    </row>
    <row r="111" spans="1:11" s="876" customFormat="1">
      <c r="A111" s="917" t="s">
        <v>349</v>
      </c>
      <c r="B111" s="918" t="s">
        <v>350</v>
      </c>
      <c r="C111" s="1024"/>
      <c r="D111" s="1126">
        <v>132369</v>
      </c>
      <c r="E111" s="1126">
        <v>132369</v>
      </c>
      <c r="F111" s="1559">
        <f t="shared" si="24"/>
        <v>1</v>
      </c>
      <c r="G111" s="919">
        <v>132369</v>
      </c>
      <c r="H111" s="920"/>
      <c r="I111" s="921"/>
      <c r="K111" s="36">
        <f t="shared" si="25"/>
        <v>0</v>
      </c>
    </row>
    <row r="112" spans="1:11">
      <c r="A112" s="892" t="s">
        <v>54</v>
      </c>
      <c r="B112" s="113" t="s">
        <v>127</v>
      </c>
      <c r="C112" s="1036">
        <v>26229</v>
      </c>
      <c r="D112" s="1120">
        <v>211699</v>
      </c>
      <c r="E112" s="1120">
        <v>211677</v>
      </c>
      <c r="F112" s="1560">
        <f t="shared" si="24"/>
        <v>0.99989607886669285</v>
      </c>
      <c r="G112" s="114">
        <v>211677</v>
      </c>
      <c r="H112" s="115"/>
      <c r="I112" s="116"/>
      <c r="K112" s="4">
        <f t="shared" si="25"/>
        <v>0</v>
      </c>
    </row>
    <row r="113" spans="1:11" ht="12.75" thickBot="1">
      <c r="A113" s="898" t="s">
        <v>55</v>
      </c>
      <c r="B113" s="899" t="s">
        <v>128</v>
      </c>
      <c r="C113" s="1023">
        <v>33550</v>
      </c>
      <c r="D113" s="1123">
        <f>94350+1</f>
        <v>94351</v>
      </c>
      <c r="E113" s="1123">
        <v>91512</v>
      </c>
      <c r="F113" s="1561">
        <f t="shared" si="24"/>
        <v>0.96991022882640354</v>
      </c>
      <c r="G113" s="869">
        <v>91512</v>
      </c>
      <c r="H113" s="870"/>
      <c r="I113" s="871"/>
      <c r="K113" s="4">
        <f t="shared" si="25"/>
        <v>0</v>
      </c>
    </row>
    <row r="114" spans="1:11" s="119" customFormat="1" ht="12.75" thickBot="1">
      <c r="A114" s="884" t="s">
        <v>6</v>
      </c>
      <c r="B114" s="891" t="s">
        <v>256</v>
      </c>
      <c r="C114" s="1035">
        <v>8859</v>
      </c>
      <c r="D114" s="1119">
        <f>45507</f>
        <v>45507</v>
      </c>
      <c r="E114" s="1119">
        <v>45507</v>
      </c>
      <c r="F114" s="1558">
        <f t="shared" si="24"/>
        <v>1</v>
      </c>
      <c r="G114" s="110">
        <v>45507</v>
      </c>
      <c r="H114" s="111"/>
      <c r="I114" s="112"/>
      <c r="K114" s="3">
        <f t="shared" si="25"/>
        <v>0</v>
      </c>
    </row>
    <row r="115" spans="1:11" s="876" customFormat="1" ht="12.75" thickBot="1">
      <c r="A115" s="917" t="s">
        <v>346</v>
      </c>
      <c r="B115" s="918" t="s">
        <v>347</v>
      </c>
      <c r="C115" s="1024"/>
      <c r="D115" s="1126">
        <v>23116</v>
      </c>
      <c r="E115" s="1126">
        <v>23116</v>
      </c>
      <c r="F115" s="1559">
        <f t="shared" si="24"/>
        <v>1</v>
      </c>
      <c r="G115" s="919">
        <v>23116</v>
      </c>
      <c r="H115" s="920"/>
      <c r="I115" s="921"/>
      <c r="K115" s="36">
        <f t="shared" si="25"/>
        <v>0</v>
      </c>
    </row>
    <row r="116" spans="1:11" s="119" customFormat="1" ht="12.75" thickBot="1">
      <c r="A116" s="884" t="s">
        <v>3</v>
      </c>
      <c r="B116" s="891" t="s">
        <v>343</v>
      </c>
      <c r="C116" s="1035">
        <f t="shared" ref="C116:I116" si="27">+C118+C119+C120+C121+C122</f>
        <v>197031</v>
      </c>
      <c r="D116" s="1119">
        <f t="shared" si="27"/>
        <v>621270</v>
      </c>
      <c r="E116" s="1119">
        <f t="shared" si="27"/>
        <v>548566</v>
      </c>
      <c r="F116" s="1558">
        <f t="shared" si="24"/>
        <v>0.88297519596954621</v>
      </c>
      <c r="G116" s="110">
        <f t="shared" si="27"/>
        <v>543183</v>
      </c>
      <c r="H116" s="111">
        <f t="shared" si="27"/>
        <v>5383</v>
      </c>
      <c r="I116" s="112">
        <f t="shared" si="27"/>
        <v>0</v>
      </c>
      <c r="K116" s="3">
        <f t="shared" si="25"/>
        <v>0</v>
      </c>
    </row>
    <row r="117" spans="1:11" s="876" customFormat="1">
      <c r="A117" s="917" t="s">
        <v>341</v>
      </c>
      <c r="B117" s="918" t="s">
        <v>348</v>
      </c>
      <c r="C117" s="1024"/>
      <c r="D117" s="1126">
        <v>260855</v>
      </c>
      <c r="E117" s="1126">
        <v>260855</v>
      </c>
      <c r="F117" s="1559">
        <f t="shared" si="24"/>
        <v>1</v>
      </c>
      <c r="G117" s="919">
        <v>260855</v>
      </c>
      <c r="H117" s="920"/>
      <c r="I117" s="921"/>
      <c r="K117" s="36">
        <f t="shared" si="25"/>
        <v>0</v>
      </c>
    </row>
    <row r="118" spans="1:11">
      <c r="A118" s="892" t="s">
        <v>61</v>
      </c>
      <c r="B118" s="113" t="s">
        <v>129</v>
      </c>
      <c r="C118" s="1036">
        <v>5749</v>
      </c>
      <c r="D118" s="1120">
        <v>50969</v>
      </c>
      <c r="E118" s="1120">
        <v>47684</v>
      </c>
      <c r="F118" s="1560">
        <f t="shared" si="24"/>
        <v>0.9355490592320822</v>
      </c>
      <c r="G118" s="114">
        <v>47684</v>
      </c>
      <c r="H118" s="115"/>
      <c r="I118" s="116"/>
      <c r="K118" s="4">
        <f t="shared" si="25"/>
        <v>0</v>
      </c>
    </row>
    <row r="119" spans="1:11">
      <c r="A119" s="896" t="s">
        <v>62</v>
      </c>
      <c r="B119" s="897" t="s">
        <v>130</v>
      </c>
      <c r="C119" s="1038">
        <v>13992</v>
      </c>
      <c r="D119" s="1122">
        <v>19168</v>
      </c>
      <c r="E119" s="1122">
        <v>17026</v>
      </c>
      <c r="F119" s="1562">
        <f t="shared" si="24"/>
        <v>0.88825125208681133</v>
      </c>
      <c r="G119" s="866">
        <v>17026</v>
      </c>
      <c r="H119" s="867"/>
      <c r="I119" s="868"/>
      <c r="K119" s="4">
        <f t="shared" si="25"/>
        <v>0</v>
      </c>
    </row>
    <row r="120" spans="1:11">
      <c r="A120" s="896" t="s">
        <v>63</v>
      </c>
      <c r="B120" s="897" t="s">
        <v>131</v>
      </c>
      <c r="C120" s="1038">
        <v>121816</v>
      </c>
      <c r="D120" s="1122">
        <v>351972</v>
      </c>
      <c r="E120" s="1122">
        <f>309895+1</f>
        <v>309896</v>
      </c>
      <c r="F120" s="1562">
        <f t="shared" si="24"/>
        <v>0.88045639994090441</v>
      </c>
      <c r="G120" s="866">
        <v>305658</v>
      </c>
      <c r="H120" s="867">
        <f>4239-1</f>
        <v>4238</v>
      </c>
      <c r="I120" s="868"/>
      <c r="K120" s="4">
        <f t="shared" si="25"/>
        <v>0</v>
      </c>
    </row>
    <row r="121" spans="1:11">
      <c r="A121" s="896" t="s">
        <v>64</v>
      </c>
      <c r="B121" s="897" t="s">
        <v>132</v>
      </c>
      <c r="C121" s="1038"/>
      <c r="D121" s="1122">
        <v>5885</v>
      </c>
      <c r="E121" s="1122">
        <f>5080-1</f>
        <v>5079</v>
      </c>
      <c r="F121" s="1562">
        <f t="shared" si="24"/>
        <v>0.86304163126593036</v>
      </c>
      <c r="G121" s="866">
        <v>5079</v>
      </c>
      <c r="H121" s="867"/>
      <c r="I121" s="868"/>
      <c r="K121" s="4">
        <f t="shared" si="25"/>
        <v>0</v>
      </c>
    </row>
    <row r="122" spans="1:11" ht="12.75" thickBot="1">
      <c r="A122" s="898" t="s">
        <v>65</v>
      </c>
      <c r="B122" s="899" t="s">
        <v>133</v>
      </c>
      <c r="C122" s="1023">
        <v>55474</v>
      </c>
      <c r="D122" s="1123">
        <f>193276</f>
        <v>193276</v>
      </c>
      <c r="E122" s="1123">
        <v>168881</v>
      </c>
      <c r="F122" s="1561">
        <f t="shared" si="24"/>
        <v>0.87378153521389101</v>
      </c>
      <c r="G122" s="869">
        <v>167736</v>
      </c>
      <c r="H122" s="870">
        <v>1145</v>
      </c>
      <c r="I122" s="871"/>
      <c r="K122" s="4">
        <f t="shared" si="25"/>
        <v>0</v>
      </c>
    </row>
    <row r="123" spans="1:11" s="119" customFormat="1" ht="12.75" thickBot="1">
      <c r="A123" s="884" t="s">
        <v>16</v>
      </c>
      <c r="B123" s="891" t="s">
        <v>310</v>
      </c>
      <c r="C123" s="1035">
        <f t="shared" ref="C123:I123" si="28">+C124+C125+C126+C127+C128+C129+C130+C131</f>
        <v>57543</v>
      </c>
      <c r="D123" s="1119">
        <f t="shared" si="28"/>
        <v>43459</v>
      </c>
      <c r="E123" s="1119">
        <f t="shared" si="28"/>
        <v>43161</v>
      </c>
      <c r="F123" s="1558">
        <f t="shared" si="24"/>
        <v>0.99314296233231325</v>
      </c>
      <c r="G123" s="110">
        <f t="shared" si="28"/>
        <v>43161</v>
      </c>
      <c r="H123" s="111">
        <f t="shared" si="28"/>
        <v>0</v>
      </c>
      <c r="I123" s="112">
        <f t="shared" si="28"/>
        <v>0</v>
      </c>
      <c r="K123" s="3">
        <f t="shared" si="25"/>
        <v>0</v>
      </c>
    </row>
    <row r="124" spans="1:11">
      <c r="A124" s="892" t="s">
        <v>227</v>
      </c>
      <c r="B124" s="113" t="s">
        <v>134</v>
      </c>
      <c r="C124" s="1036"/>
      <c r="D124" s="1120"/>
      <c r="E124" s="1120"/>
      <c r="F124" s="1560" t="str">
        <f t="shared" si="24"/>
        <v>-</v>
      </c>
      <c r="G124" s="114"/>
      <c r="H124" s="115"/>
      <c r="I124" s="116"/>
      <c r="K124" s="4">
        <f t="shared" si="25"/>
        <v>0</v>
      </c>
    </row>
    <row r="125" spans="1:11">
      <c r="A125" s="896" t="s">
        <v>228</v>
      </c>
      <c r="B125" s="897" t="s">
        <v>135</v>
      </c>
      <c r="C125" s="1038"/>
      <c r="D125" s="1122"/>
      <c r="E125" s="1122"/>
      <c r="F125" s="1562" t="str">
        <f t="shared" si="24"/>
        <v>-</v>
      </c>
      <c r="G125" s="866"/>
      <c r="H125" s="867"/>
      <c r="I125" s="868"/>
      <c r="K125" s="4">
        <f t="shared" si="25"/>
        <v>0</v>
      </c>
    </row>
    <row r="126" spans="1:11">
      <c r="A126" s="896" t="s">
        <v>229</v>
      </c>
      <c r="B126" s="897" t="s">
        <v>136</v>
      </c>
      <c r="C126" s="1038"/>
      <c r="D126" s="1122"/>
      <c r="E126" s="1122"/>
      <c r="F126" s="1562" t="str">
        <f t="shared" si="24"/>
        <v>-</v>
      </c>
      <c r="G126" s="866"/>
      <c r="H126" s="867"/>
      <c r="I126" s="868"/>
      <c r="K126" s="4">
        <f t="shared" si="25"/>
        <v>0</v>
      </c>
    </row>
    <row r="127" spans="1:11">
      <c r="A127" s="896" t="s">
        <v>257</v>
      </c>
      <c r="B127" s="897" t="s">
        <v>137</v>
      </c>
      <c r="C127" s="1038">
        <v>2400</v>
      </c>
      <c r="D127" s="1122">
        <v>0</v>
      </c>
      <c r="E127" s="1122"/>
      <c r="F127" s="1562" t="str">
        <f t="shared" si="24"/>
        <v>-</v>
      </c>
      <c r="G127" s="866"/>
      <c r="H127" s="867"/>
      <c r="I127" s="868"/>
      <c r="K127" s="4">
        <f t="shared" si="25"/>
        <v>0</v>
      </c>
    </row>
    <row r="128" spans="1:11">
      <c r="A128" s="896" t="s">
        <v>258</v>
      </c>
      <c r="B128" s="897" t="s">
        <v>138</v>
      </c>
      <c r="C128" s="1038"/>
      <c r="D128" s="1122"/>
      <c r="E128" s="1122"/>
      <c r="F128" s="1562" t="str">
        <f t="shared" si="24"/>
        <v>-</v>
      </c>
      <c r="G128" s="866"/>
      <c r="H128" s="867"/>
      <c r="I128" s="868"/>
      <c r="K128" s="4">
        <f t="shared" si="25"/>
        <v>0</v>
      </c>
    </row>
    <row r="129" spans="1:11">
      <c r="A129" s="896" t="s">
        <v>259</v>
      </c>
      <c r="B129" s="897" t="s">
        <v>139</v>
      </c>
      <c r="C129" s="1038">
        <v>19800</v>
      </c>
      <c r="D129" s="1122">
        <v>0</v>
      </c>
      <c r="E129" s="1122"/>
      <c r="F129" s="1562" t="str">
        <f t="shared" si="24"/>
        <v>-</v>
      </c>
      <c r="G129" s="866"/>
      <c r="H129" s="867"/>
      <c r="I129" s="868"/>
      <c r="K129" s="4">
        <f t="shared" si="25"/>
        <v>0</v>
      </c>
    </row>
    <row r="130" spans="1:11">
      <c r="A130" s="896" t="s">
        <v>260</v>
      </c>
      <c r="B130" s="897" t="s">
        <v>140</v>
      </c>
      <c r="C130" s="1038">
        <v>13143</v>
      </c>
      <c r="D130" s="1122">
        <v>2461</v>
      </c>
      <c r="E130" s="1122">
        <v>2461</v>
      </c>
      <c r="F130" s="1562">
        <f t="shared" si="24"/>
        <v>1</v>
      </c>
      <c r="G130" s="866">
        <v>2461</v>
      </c>
      <c r="H130" s="867"/>
      <c r="I130" s="868"/>
      <c r="K130" s="4">
        <f t="shared" si="25"/>
        <v>0</v>
      </c>
    </row>
    <row r="131" spans="1:11" ht="12.75" thickBot="1">
      <c r="A131" s="898" t="s">
        <v>261</v>
      </c>
      <c r="B131" s="899" t="s">
        <v>141</v>
      </c>
      <c r="C131" s="1023">
        <v>22200</v>
      </c>
      <c r="D131" s="1123">
        <v>40998</v>
      </c>
      <c r="E131" s="1123">
        <f>40699+1</f>
        <v>40700</v>
      </c>
      <c r="F131" s="1561">
        <f t="shared" si="24"/>
        <v>0.99273135274891455</v>
      </c>
      <c r="G131" s="869">
        <v>40700</v>
      </c>
      <c r="H131" s="870"/>
      <c r="I131" s="871"/>
      <c r="K131" s="4">
        <f t="shared" si="25"/>
        <v>0</v>
      </c>
    </row>
    <row r="132" spans="1:11" s="119" customFormat="1" ht="12.75" thickBot="1">
      <c r="A132" s="884" t="s">
        <v>15</v>
      </c>
      <c r="B132" s="891" t="s">
        <v>927</v>
      </c>
      <c r="C132" s="1035">
        <f t="shared" ref="C132:I132" si="29">+C133+C134+C135+C136+C137+C138+C144+C140+C141+C142+C143+C145+C146</f>
        <v>2871112</v>
      </c>
      <c r="D132" s="1119">
        <f t="shared" si="29"/>
        <v>3214947</v>
      </c>
      <c r="E132" s="1119">
        <f t="shared" si="29"/>
        <v>86352</v>
      </c>
      <c r="F132" s="1558">
        <f t="shared" si="24"/>
        <v>2.6859540763813524E-2</v>
      </c>
      <c r="G132" s="110">
        <f t="shared" si="29"/>
        <v>85177</v>
      </c>
      <c r="H132" s="111">
        <f t="shared" si="29"/>
        <v>1175</v>
      </c>
      <c r="I132" s="112">
        <f t="shared" si="29"/>
        <v>0</v>
      </c>
      <c r="K132" s="3">
        <f t="shared" si="25"/>
        <v>0</v>
      </c>
    </row>
    <row r="133" spans="1:11">
      <c r="A133" s="892" t="s">
        <v>87</v>
      </c>
      <c r="B133" s="113" t="s">
        <v>142</v>
      </c>
      <c r="C133" s="1036"/>
      <c r="D133" s="1120"/>
      <c r="E133" s="1120"/>
      <c r="F133" s="1560" t="str">
        <f t="shared" si="24"/>
        <v>-</v>
      </c>
      <c r="G133" s="114"/>
      <c r="H133" s="115"/>
      <c r="I133" s="116"/>
      <c r="K133" s="4">
        <f t="shared" si="25"/>
        <v>0</v>
      </c>
    </row>
    <row r="134" spans="1:11">
      <c r="A134" s="896" t="s">
        <v>88</v>
      </c>
      <c r="B134" s="897" t="s">
        <v>143</v>
      </c>
      <c r="C134" s="1038">
        <v>13076</v>
      </c>
      <c r="D134" s="1122">
        <f>12511-1</f>
        <v>12510</v>
      </c>
      <c r="E134" s="1122">
        <v>7250</v>
      </c>
      <c r="F134" s="1562">
        <f t="shared" si="24"/>
        <v>0.57953637090327736</v>
      </c>
      <c r="G134" s="866">
        <v>7250</v>
      </c>
      <c r="H134" s="867"/>
      <c r="I134" s="868"/>
      <c r="K134" s="4">
        <f t="shared" si="25"/>
        <v>0</v>
      </c>
    </row>
    <row r="135" spans="1:11">
      <c r="A135" s="896" t="s">
        <v>182</v>
      </c>
      <c r="B135" s="897" t="s">
        <v>144</v>
      </c>
      <c r="C135" s="1038"/>
      <c r="D135" s="1122"/>
      <c r="E135" s="1122"/>
      <c r="F135" s="1562" t="str">
        <f t="shared" si="24"/>
        <v>-</v>
      </c>
      <c r="G135" s="866"/>
      <c r="H135" s="867"/>
      <c r="I135" s="868"/>
      <c r="K135" s="4">
        <f t="shared" si="25"/>
        <v>0</v>
      </c>
    </row>
    <row r="136" spans="1:11">
      <c r="A136" s="896" t="s">
        <v>183</v>
      </c>
      <c r="B136" s="897" t="s">
        <v>145</v>
      </c>
      <c r="C136" s="1038"/>
      <c r="D136" s="1122"/>
      <c r="E136" s="1122"/>
      <c r="F136" s="1562" t="str">
        <f t="shared" si="24"/>
        <v>-</v>
      </c>
      <c r="G136" s="866"/>
      <c r="H136" s="867"/>
      <c r="I136" s="868"/>
      <c r="K136" s="4">
        <f t="shared" si="25"/>
        <v>0</v>
      </c>
    </row>
    <row r="137" spans="1:11">
      <c r="A137" s="896" t="s">
        <v>184</v>
      </c>
      <c r="B137" s="897" t="s">
        <v>146</v>
      </c>
      <c r="C137" s="1038"/>
      <c r="D137" s="1122"/>
      <c r="E137" s="1122"/>
      <c r="F137" s="1562" t="str">
        <f t="shared" si="24"/>
        <v>-</v>
      </c>
      <c r="G137" s="866"/>
      <c r="H137" s="867"/>
      <c r="I137" s="868"/>
      <c r="K137" s="4">
        <f t="shared" si="25"/>
        <v>0</v>
      </c>
    </row>
    <row r="138" spans="1:11">
      <c r="A138" s="896" t="s">
        <v>262</v>
      </c>
      <c r="B138" s="897" t="s">
        <v>147</v>
      </c>
      <c r="C138" s="1038">
        <v>9203</v>
      </c>
      <c r="D138" s="1122">
        <v>17991</v>
      </c>
      <c r="E138" s="1122">
        <v>17991</v>
      </c>
      <c r="F138" s="1562">
        <f t="shared" si="24"/>
        <v>1</v>
      </c>
      <c r="G138" s="866">
        <v>17991</v>
      </c>
      <c r="H138" s="867"/>
      <c r="I138" s="868"/>
      <c r="K138" s="4">
        <f t="shared" si="25"/>
        <v>0</v>
      </c>
    </row>
    <row r="139" spans="1:11" s="117" customFormat="1">
      <c r="A139" s="900" t="s">
        <v>336</v>
      </c>
      <c r="B139" s="901" t="s">
        <v>933</v>
      </c>
      <c r="C139" s="1022"/>
      <c r="D139" s="1124">
        <f>200+8100</f>
        <v>8300</v>
      </c>
      <c r="E139" s="1124">
        <f>200+8100</f>
        <v>8300</v>
      </c>
      <c r="F139" s="1561">
        <f t="shared" si="24"/>
        <v>1</v>
      </c>
      <c r="G139" s="902">
        <f>200+8100</f>
        <v>8300</v>
      </c>
      <c r="H139" s="903"/>
      <c r="I139" s="904"/>
      <c r="K139" s="13">
        <f t="shared" si="25"/>
        <v>0</v>
      </c>
    </row>
    <row r="140" spans="1:11">
      <c r="A140" s="896" t="s">
        <v>263</v>
      </c>
      <c r="B140" s="897" t="s">
        <v>148</v>
      </c>
      <c r="C140" s="1038"/>
      <c r="D140" s="1122"/>
      <c r="E140" s="1122"/>
      <c r="F140" s="1562" t="str">
        <f t="shared" si="24"/>
        <v>-</v>
      </c>
      <c r="G140" s="866"/>
      <c r="H140" s="867"/>
      <c r="I140" s="868"/>
      <c r="K140" s="4">
        <f t="shared" si="25"/>
        <v>0</v>
      </c>
    </row>
    <row r="141" spans="1:11">
      <c r="A141" s="896" t="s">
        <v>264</v>
      </c>
      <c r="B141" s="897" t="s">
        <v>149</v>
      </c>
      <c r="C141" s="1038">
        <v>4000</v>
      </c>
      <c r="D141" s="1122">
        <v>8814</v>
      </c>
      <c r="E141" s="1122">
        <v>8814</v>
      </c>
      <c r="F141" s="1562">
        <f t="shared" si="24"/>
        <v>1</v>
      </c>
      <c r="G141" s="866">
        <v>8814</v>
      </c>
      <c r="H141" s="867"/>
      <c r="I141" s="868"/>
      <c r="K141" s="4">
        <f t="shared" si="25"/>
        <v>0</v>
      </c>
    </row>
    <row r="142" spans="1:11">
      <c r="A142" s="896" t="s">
        <v>265</v>
      </c>
      <c r="B142" s="897" t="s">
        <v>150</v>
      </c>
      <c r="C142" s="1038"/>
      <c r="D142" s="1122"/>
      <c r="E142" s="1122"/>
      <c r="F142" s="1562" t="str">
        <f t="shared" si="24"/>
        <v>-</v>
      </c>
      <c r="G142" s="866"/>
      <c r="H142" s="867"/>
      <c r="I142" s="868"/>
      <c r="K142" s="4">
        <f t="shared" si="25"/>
        <v>0</v>
      </c>
    </row>
    <row r="143" spans="1:11">
      <c r="A143" s="896" t="s">
        <v>266</v>
      </c>
      <c r="B143" s="897" t="s">
        <v>151</v>
      </c>
      <c r="C143" s="1038"/>
      <c r="D143" s="1122"/>
      <c r="E143" s="1122"/>
      <c r="F143" s="1562" t="str">
        <f t="shared" si="24"/>
        <v>-</v>
      </c>
      <c r="G143" s="866"/>
      <c r="H143" s="867"/>
      <c r="I143" s="868"/>
      <c r="K143" s="4">
        <f t="shared" si="25"/>
        <v>0</v>
      </c>
    </row>
    <row r="144" spans="1:11">
      <c r="A144" s="896" t="s">
        <v>267</v>
      </c>
      <c r="B144" s="897" t="s">
        <v>928</v>
      </c>
      <c r="C144" s="1038"/>
      <c r="D144" s="1122"/>
      <c r="E144" s="1122"/>
      <c r="F144" s="1562" t="str">
        <f t="shared" si="24"/>
        <v>-</v>
      </c>
      <c r="G144" s="866"/>
      <c r="H144" s="867"/>
      <c r="I144" s="868"/>
      <c r="K144" s="4">
        <f t="shared" si="25"/>
        <v>0</v>
      </c>
    </row>
    <row r="145" spans="1:11">
      <c r="A145" s="896" t="s">
        <v>268</v>
      </c>
      <c r="B145" s="897" t="s">
        <v>929</v>
      </c>
      <c r="C145" s="1038">
        <v>50700</v>
      </c>
      <c r="D145" s="1122">
        <v>61842</v>
      </c>
      <c r="E145" s="1122">
        <v>52297</v>
      </c>
      <c r="F145" s="1562">
        <f t="shared" si="24"/>
        <v>0.84565505643413863</v>
      </c>
      <c r="G145" s="866">
        <v>51122</v>
      </c>
      <c r="H145" s="867">
        <f>900+275</f>
        <v>1175</v>
      </c>
      <c r="I145" s="868"/>
      <c r="K145" s="4">
        <f t="shared" si="25"/>
        <v>0</v>
      </c>
    </row>
    <row r="146" spans="1:11">
      <c r="A146" s="898" t="s">
        <v>924</v>
      </c>
      <c r="B146" s="899" t="s">
        <v>930</v>
      </c>
      <c r="C146" s="1023">
        <f t="shared" ref="C146:I146" si="30">+C147+C148</f>
        <v>2794133</v>
      </c>
      <c r="D146" s="1123">
        <f t="shared" si="30"/>
        <v>3113790</v>
      </c>
      <c r="E146" s="1123">
        <f t="shared" si="30"/>
        <v>0</v>
      </c>
      <c r="F146" s="1561">
        <f t="shared" si="24"/>
        <v>0</v>
      </c>
      <c r="G146" s="869">
        <f t="shared" si="30"/>
        <v>0</v>
      </c>
      <c r="H146" s="870">
        <f t="shared" si="30"/>
        <v>0</v>
      </c>
      <c r="I146" s="871">
        <f t="shared" si="30"/>
        <v>0</v>
      </c>
      <c r="K146" s="4">
        <f t="shared" si="25"/>
        <v>0</v>
      </c>
    </row>
    <row r="147" spans="1:11" s="117" customFormat="1">
      <c r="A147" s="900" t="s">
        <v>925</v>
      </c>
      <c r="B147" s="922" t="s">
        <v>931</v>
      </c>
      <c r="C147" s="1022">
        <v>10000</v>
      </c>
      <c r="D147" s="1124">
        <f>(10000+(-965-300+250+150-519-12404+8679+4879))+(-900-421-3000-8548-274-378-12414-15000+12873+23292)-5000+3113790</f>
        <v>3113790</v>
      </c>
      <c r="E147" s="1124"/>
      <c r="F147" s="1561">
        <f t="shared" si="24"/>
        <v>0</v>
      </c>
      <c r="G147" s="902"/>
      <c r="H147" s="903"/>
      <c r="I147" s="904"/>
      <c r="K147" s="13">
        <f t="shared" si="25"/>
        <v>0</v>
      </c>
    </row>
    <row r="148" spans="1:11" s="117" customFormat="1" ht="12.75" thickBot="1">
      <c r="A148" s="900" t="s">
        <v>926</v>
      </c>
      <c r="B148" s="922" t="s">
        <v>932</v>
      </c>
      <c r="C148" s="1022">
        <v>2784133</v>
      </c>
      <c r="D148" s="1124">
        <f>(2784133+(33808-801+26+396138+6568-4879))+(-7461+1067098-1219+15000)-1174621-3113790</f>
        <v>0</v>
      </c>
      <c r="E148" s="1124"/>
      <c r="F148" s="1561" t="str">
        <f t="shared" si="24"/>
        <v>-</v>
      </c>
      <c r="G148" s="902"/>
      <c r="H148" s="903"/>
      <c r="I148" s="904"/>
      <c r="K148" s="13">
        <f t="shared" si="25"/>
        <v>0</v>
      </c>
    </row>
    <row r="149" spans="1:11" s="119" customFormat="1" ht="12.75" thickBot="1">
      <c r="A149" s="884" t="s">
        <v>14</v>
      </c>
      <c r="B149" s="905" t="s">
        <v>311</v>
      </c>
      <c r="C149" s="1035">
        <f t="shared" ref="C149:I149" si="31">+C150+C159+C165</f>
        <v>472823</v>
      </c>
      <c r="D149" s="1119">
        <f t="shared" si="31"/>
        <v>1299613</v>
      </c>
      <c r="E149" s="1119">
        <f t="shared" si="31"/>
        <v>1017244</v>
      </c>
      <c r="F149" s="1558">
        <f t="shared" si="24"/>
        <v>0.78272839683813566</v>
      </c>
      <c r="G149" s="110">
        <f t="shared" si="31"/>
        <v>1012494</v>
      </c>
      <c r="H149" s="111">
        <f t="shared" si="31"/>
        <v>4750</v>
      </c>
      <c r="I149" s="112">
        <f t="shared" si="31"/>
        <v>0</v>
      </c>
      <c r="K149" s="3">
        <f t="shared" si="25"/>
        <v>0</v>
      </c>
    </row>
    <row r="150" spans="1:11" s="119" customFormat="1" ht="12.75" thickBot="1">
      <c r="A150" s="884" t="s">
        <v>13</v>
      </c>
      <c r="B150" s="891" t="s">
        <v>312</v>
      </c>
      <c r="C150" s="1035">
        <f t="shared" ref="C150:I150" si="32">+C152+C153+C154+C155+C156+C157+C158</f>
        <v>453147</v>
      </c>
      <c r="D150" s="1119">
        <f t="shared" si="32"/>
        <v>884406</v>
      </c>
      <c r="E150" s="1119">
        <f t="shared" si="32"/>
        <v>769222</v>
      </c>
      <c r="F150" s="1558">
        <f t="shared" si="24"/>
        <v>0.86976117303591338</v>
      </c>
      <c r="G150" s="110">
        <f t="shared" si="32"/>
        <v>764472</v>
      </c>
      <c r="H150" s="111">
        <f t="shared" si="32"/>
        <v>4750</v>
      </c>
      <c r="I150" s="112">
        <f t="shared" si="32"/>
        <v>0</v>
      </c>
      <c r="K150" s="3">
        <f t="shared" si="25"/>
        <v>0</v>
      </c>
    </row>
    <row r="151" spans="1:11" s="876" customFormat="1">
      <c r="A151" s="917" t="s">
        <v>934</v>
      </c>
      <c r="B151" s="918" t="s">
        <v>342</v>
      </c>
      <c r="C151" s="1024"/>
      <c r="D151" s="1126">
        <v>687310</v>
      </c>
      <c r="E151" s="1126">
        <v>687310</v>
      </c>
      <c r="F151" s="1559">
        <f t="shared" si="24"/>
        <v>1</v>
      </c>
      <c r="G151" s="919">
        <v>687310</v>
      </c>
      <c r="H151" s="920"/>
      <c r="I151" s="921"/>
      <c r="K151" s="36">
        <f t="shared" si="25"/>
        <v>0</v>
      </c>
    </row>
    <row r="152" spans="1:11">
      <c r="A152" s="892" t="s">
        <v>66</v>
      </c>
      <c r="B152" s="113" t="s">
        <v>152</v>
      </c>
      <c r="C152" s="1036">
        <v>7874</v>
      </c>
      <c r="D152" s="1120">
        <v>0</v>
      </c>
      <c r="E152" s="1120"/>
      <c r="F152" s="1560" t="str">
        <f t="shared" si="24"/>
        <v>-</v>
      </c>
      <c r="G152" s="114"/>
      <c r="H152" s="115"/>
      <c r="I152" s="116"/>
      <c r="K152" s="4">
        <f t="shared" si="25"/>
        <v>0</v>
      </c>
    </row>
    <row r="153" spans="1:11">
      <c r="A153" s="896" t="s">
        <v>67</v>
      </c>
      <c r="B153" s="897" t="s">
        <v>153</v>
      </c>
      <c r="C153" s="1038">
        <v>429715</v>
      </c>
      <c r="D153" s="1122">
        <v>847446</v>
      </c>
      <c r="E153" s="1122">
        <f>739563+1</f>
        <v>739564</v>
      </c>
      <c r="F153" s="1562">
        <f t="shared" si="24"/>
        <v>0.87269749340960956</v>
      </c>
      <c r="G153" s="866">
        <v>734814</v>
      </c>
      <c r="H153" s="867">
        <v>4750</v>
      </c>
      <c r="I153" s="868"/>
      <c r="K153" s="4">
        <f t="shared" si="25"/>
        <v>0</v>
      </c>
    </row>
    <row r="154" spans="1:11">
      <c r="A154" s="896" t="s">
        <v>68</v>
      </c>
      <c r="B154" s="897" t="s">
        <v>154</v>
      </c>
      <c r="C154" s="1038">
        <v>1134</v>
      </c>
      <c r="D154" s="1122">
        <v>0</v>
      </c>
      <c r="E154" s="1122"/>
      <c r="F154" s="1562" t="str">
        <f t="shared" si="24"/>
        <v>-</v>
      </c>
      <c r="G154" s="866"/>
      <c r="H154" s="867"/>
      <c r="I154" s="868"/>
      <c r="K154" s="4">
        <f t="shared" si="25"/>
        <v>0</v>
      </c>
    </row>
    <row r="155" spans="1:11">
      <c r="A155" s="896" t="s">
        <v>230</v>
      </c>
      <c r="B155" s="897" t="s">
        <v>155</v>
      </c>
      <c r="C155" s="1038">
        <v>1575</v>
      </c>
      <c r="D155" s="1122">
        <v>20575</v>
      </c>
      <c r="E155" s="1122">
        <v>18043</v>
      </c>
      <c r="F155" s="1562">
        <f t="shared" si="24"/>
        <v>0.87693803159173755</v>
      </c>
      <c r="G155" s="866">
        <v>18043</v>
      </c>
      <c r="H155" s="867"/>
      <c r="I155" s="868"/>
      <c r="K155" s="4">
        <f t="shared" si="25"/>
        <v>0</v>
      </c>
    </row>
    <row r="156" spans="1:11">
      <c r="A156" s="896" t="s">
        <v>231</v>
      </c>
      <c r="B156" s="897" t="s">
        <v>156</v>
      </c>
      <c r="C156" s="1038"/>
      <c r="D156" s="1122"/>
      <c r="E156" s="1122"/>
      <c r="F156" s="1562" t="str">
        <f t="shared" si="24"/>
        <v>-</v>
      </c>
      <c r="G156" s="866"/>
      <c r="H156" s="867"/>
      <c r="I156" s="868"/>
      <c r="K156" s="4">
        <f t="shared" si="25"/>
        <v>0</v>
      </c>
    </row>
    <row r="157" spans="1:11">
      <c r="A157" s="896" t="s">
        <v>269</v>
      </c>
      <c r="B157" s="897" t="s">
        <v>157</v>
      </c>
      <c r="C157" s="1038"/>
      <c r="D157" s="1122"/>
      <c r="E157" s="1122"/>
      <c r="F157" s="1562" t="str">
        <f t="shared" si="24"/>
        <v>-</v>
      </c>
      <c r="G157" s="866"/>
      <c r="H157" s="867"/>
      <c r="I157" s="868"/>
      <c r="K157" s="4">
        <f t="shared" si="25"/>
        <v>0</v>
      </c>
    </row>
    <row r="158" spans="1:11" ht="12.75" thickBot="1">
      <c r="A158" s="898" t="s">
        <v>270</v>
      </c>
      <c r="B158" s="899" t="s">
        <v>158</v>
      </c>
      <c r="C158" s="1023">
        <v>12849</v>
      </c>
      <c r="D158" s="1123">
        <f>16386-1</f>
        <v>16385</v>
      </c>
      <c r="E158" s="1123">
        <f>11615</f>
        <v>11615</v>
      </c>
      <c r="F158" s="1561">
        <f t="shared" si="24"/>
        <v>0.7088800732377174</v>
      </c>
      <c r="G158" s="869">
        <v>11615</v>
      </c>
      <c r="H158" s="870"/>
      <c r="I158" s="871"/>
      <c r="K158" s="4">
        <f t="shared" si="25"/>
        <v>0</v>
      </c>
    </row>
    <row r="159" spans="1:11" s="119" customFormat="1" ht="12.75" thickBot="1">
      <c r="A159" s="884" t="s">
        <v>12</v>
      </c>
      <c r="B159" s="891" t="s">
        <v>313</v>
      </c>
      <c r="C159" s="1035">
        <f t="shared" ref="C159:I159" si="33">+C161+C162+C163+C164</f>
        <v>19676</v>
      </c>
      <c r="D159" s="1119">
        <f t="shared" si="33"/>
        <v>415189</v>
      </c>
      <c r="E159" s="1119">
        <f t="shared" si="33"/>
        <v>248004</v>
      </c>
      <c r="F159" s="1558">
        <f t="shared" si="24"/>
        <v>0.59732796389114351</v>
      </c>
      <c r="G159" s="110">
        <f t="shared" si="33"/>
        <v>248004</v>
      </c>
      <c r="H159" s="111">
        <f t="shared" si="33"/>
        <v>0</v>
      </c>
      <c r="I159" s="112">
        <f t="shared" si="33"/>
        <v>0</v>
      </c>
      <c r="K159" s="3">
        <f t="shared" si="25"/>
        <v>0</v>
      </c>
    </row>
    <row r="160" spans="1:11" s="876" customFormat="1">
      <c r="A160" s="917" t="s">
        <v>344</v>
      </c>
      <c r="B160" s="918" t="s">
        <v>345</v>
      </c>
      <c r="C160" s="1024"/>
      <c r="D160" s="1126">
        <v>187057</v>
      </c>
      <c r="E160" s="1126">
        <v>187057</v>
      </c>
      <c r="F160" s="1559">
        <f t="shared" si="24"/>
        <v>1</v>
      </c>
      <c r="G160" s="919">
        <v>187057</v>
      </c>
      <c r="H160" s="920"/>
      <c r="I160" s="921"/>
      <c r="K160" s="36">
        <f t="shared" si="25"/>
        <v>0</v>
      </c>
    </row>
    <row r="161" spans="1:11">
      <c r="A161" s="892" t="s">
        <v>69</v>
      </c>
      <c r="B161" s="113" t="s">
        <v>159</v>
      </c>
      <c r="C161" s="1036">
        <v>15492</v>
      </c>
      <c r="D161" s="1120">
        <f>371738</f>
        <v>371738</v>
      </c>
      <c r="E161" s="1120">
        <v>205032</v>
      </c>
      <c r="F161" s="1560">
        <f t="shared" si="24"/>
        <v>0.55154974740274065</v>
      </c>
      <c r="G161" s="114">
        <v>205032</v>
      </c>
      <c r="H161" s="115"/>
      <c r="I161" s="116"/>
      <c r="K161" s="4">
        <f t="shared" si="25"/>
        <v>0</v>
      </c>
    </row>
    <row r="162" spans="1:11">
      <c r="A162" s="896" t="s">
        <v>70</v>
      </c>
      <c r="B162" s="897" t="s">
        <v>160</v>
      </c>
      <c r="C162" s="1038"/>
      <c r="D162" s="1122"/>
      <c r="E162" s="1122"/>
      <c r="F162" s="1562" t="str">
        <f t="shared" si="24"/>
        <v>-</v>
      </c>
      <c r="G162" s="866"/>
      <c r="H162" s="867"/>
      <c r="I162" s="868"/>
      <c r="K162" s="4">
        <f t="shared" si="25"/>
        <v>0</v>
      </c>
    </row>
    <row r="163" spans="1:11">
      <c r="A163" s="896" t="s">
        <v>71</v>
      </c>
      <c r="B163" s="897" t="s">
        <v>161</v>
      </c>
      <c r="C163" s="1038"/>
      <c r="D163" s="1122"/>
      <c r="E163" s="1122"/>
      <c r="F163" s="1562" t="str">
        <f t="shared" si="24"/>
        <v>-</v>
      </c>
      <c r="G163" s="866"/>
      <c r="H163" s="867"/>
      <c r="I163" s="868"/>
      <c r="K163" s="4">
        <f t="shared" si="25"/>
        <v>0</v>
      </c>
    </row>
    <row r="164" spans="1:11" ht="12.75" thickBot="1">
      <c r="A164" s="898" t="s">
        <v>72</v>
      </c>
      <c r="B164" s="899" t="s">
        <v>162</v>
      </c>
      <c r="C164" s="1023">
        <v>4184</v>
      </c>
      <c r="D164" s="1123">
        <f>43452-1+1-1</f>
        <v>43451</v>
      </c>
      <c r="E164" s="1123">
        <v>42972</v>
      </c>
      <c r="F164" s="1561">
        <f t="shared" si="24"/>
        <v>0.98897608800718051</v>
      </c>
      <c r="G164" s="869">
        <v>42972</v>
      </c>
      <c r="H164" s="870"/>
      <c r="I164" s="871"/>
      <c r="K164" s="4">
        <f t="shared" si="25"/>
        <v>0</v>
      </c>
    </row>
    <row r="165" spans="1:11" s="119" customFormat="1" ht="12.75" thickBot="1">
      <c r="A165" s="884" t="s">
        <v>11</v>
      </c>
      <c r="B165" s="891" t="s">
        <v>936</v>
      </c>
      <c r="C165" s="1035">
        <f t="shared" ref="C165:I165" si="34">+C166+C167+C168+C169+C171+C172+C173+C174+C175</f>
        <v>0</v>
      </c>
      <c r="D165" s="1119">
        <f t="shared" si="34"/>
        <v>18</v>
      </c>
      <c r="E165" s="1119">
        <f t="shared" si="34"/>
        <v>18</v>
      </c>
      <c r="F165" s="1558">
        <f t="shared" si="24"/>
        <v>1</v>
      </c>
      <c r="G165" s="110">
        <f t="shared" si="34"/>
        <v>18</v>
      </c>
      <c r="H165" s="111">
        <f t="shared" si="34"/>
        <v>0</v>
      </c>
      <c r="I165" s="112">
        <f t="shared" si="34"/>
        <v>0</v>
      </c>
      <c r="K165" s="3">
        <f t="shared" si="25"/>
        <v>0</v>
      </c>
    </row>
    <row r="166" spans="1:11">
      <c r="A166" s="892" t="s">
        <v>271</v>
      </c>
      <c r="B166" s="113" t="s">
        <v>163</v>
      </c>
      <c r="C166" s="1036"/>
      <c r="D166" s="1120"/>
      <c r="E166" s="1120"/>
      <c r="F166" s="1560" t="str">
        <f t="shared" si="24"/>
        <v>-</v>
      </c>
      <c r="G166" s="114"/>
      <c r="H166" s="115"/>
      <c r="I166" s="116"/>
      <c r="K166" s="4">
        <f t="shared" si="25"/>
        <v>0</v>
      </c>
    </row>
    <row r="167" spans="1:11">
      <c r="A167" s="896" t="s">
        <v>272</v>
      </c>
      <c r="B167" s="897" t="s">
        <v>164</v>
      </c>
      <c r="C167" s="1038"/>
      <c r="D167" s="1122"/>
      <c r="E167" s="1122"/>
      <c r="F167" s="1562" t="str">
        <f t="shared" si="24"/>
        <v>-</v>
      </c>
      <c r="G167" s="866"/>
      <c r="H167" s="867"/>
      <c r="I167" s="868"/>
      <c r="K167" s="4">
        <f t="shared" si="25"/>
        <v>0</v>
      </c>
    </row>
    <row r="168" spans="1:11">
      <c r="A168" s="896" t="s">
        <v>273</v>
      </c>
      <c r="B168" s="897" t="s">
        <v>165</v>
      </c>
      <c r="C168" s="1038"/>
      <c r="D168" s="1122"/>
      <c r="E168" s="1122"/>
      <c r="F168" s="1562" t="str">
        <f t="shared" si="24"/>
        <v>-</v>
      </c>
      <c r="G168" s="866"/>
      <c r="H168" s="867"/>
      <c r="I168" s="868"/>
      <c r="K168" s="4">
        <f t="shared" si="25"/>
        <v>0</v>
      </c>
    </row>
    <row r="169" spans="1:11">
      <c r="A169" s="896" t="s">
        <v>274</v>
      </c>
      <c r="B169" s="897" t="s">
        <v>166</v>
      </c>
      <c r="C169" s="1038"/>
      <c r="D169" s="1122"/>
      <c r="E169" s="1122"/>
      <c r="F169" s="1562" t="str">
        <f t="shared" si="24"/>
        <v>-</v>
      </c>
      <c r="G169" s="866"/>
      <c r="H169" s="867"/>
      <c r="I169" s="868"/>
      <c r="K169" s="4">
        <f t="shared" si="25"/>
        <v>0</v>
      </c>
    </row>
    <row r="170" spans="1:11" s="117" customFormat="1">
      <c r="A170" s="900" t="s">
        <v>339</v>
      </c>
      <c r="B170" s="901" t="s">
        <v>340</v>
      </c>
      <c r="C170" s="1022"/>
      <c r="D170" s="1124"/>
      <c r="E170" s="1124"/>
      <c r="F170" s="1561" t="str">
        <f t="shared" si="24"/>
        <v>-</v>
      </c>
      <c r="G170" s="902"/>
      <c r="H170" s="903"/>
      <c r="I170" s="904"/>
      <c r="K170" s="13">
        <f t="shared" si="25"/>
        <v>0</v>
      </c>
    </row>
    <row r="171" spans="1:11">
      <c r="A171" s="896" t="s">
        <v>275</v>
      </c>
      <c r="B171" s="897" t="s">
        <v>167</v>
      </c>
      <c r="C171" s="1038"/>
      <c r="D171" s="1122"/>
      <c r="E171" s="1122"/>
      <c r="F171" s="1562" t="str">
        <f t="shared" si="24"/>
        <v>-</v>
      </c>
      <c r="G171" s="866"/>
      <c r="H171" s="867"/>
      <c r="I171" s="868"/>
      <c r="K171" s="4">
        <f t="shared" si="25"/>
        <v>0</v>
      </c>
    </row>
    <row r="172" spans="1:11">
      <c r="A172" s="896" t="s">
        <v>276</v>
      </c>
      <c r="B172" s="897" t="s">
        <v>168</v>
      </c>
      <c r="C172" s="1038"/>
      <c r="D172" s="1122"/>
      <c r="E172" s="1122"/>
      <c r="F172" s="1562" t="str">
        <f t="shared" si="24"/>
        <v>-</v>
      </c>
      <c r="G172" s="866"/>
      <c r="H172" s="867"/>
      <c r="I172" s="868"/>
      <c r="K172" s="4">
        <f t="shared" si="25"/>
        <v>0</v>
      </c>
    </row>
    <row r="173" spans="1:11">
      <c r="A173" s="896" t="s">
        <v>277</v>
      </c>
      <c r="B173" s="897" t="s">
        <v>169</v>
      </c>
      <c r="C173" s="1038"/>
      <c r="D173" s="1122"/>
      <c r="E173" s="1122"/>
      <c r="F173" s="1562" t="str">
        <f t="shared" ref="F173:F208" si="35">IF(ISERROR(E173/D173),"-",E173/D173)</f>
        <v>-</v>
      </c>
      <c r="G173" s="866"/>
      <c r="H173" s="867"/>
      <c r="I173" s="868"/>
      <c r="K173" s="4">
        <f t="shared" ref="K173:K208" si="36">+E173-G173-H173-I173</f>
        <v>0</v>
      </c>
    </row>
    <row r="174" spans="1:11">
      <c r="A174" s="896" t="s">
        <v>278</v>
      </c>
      <c r="B174" s="897" t="s">
        <v>937</v>
      </c>
      <c r="C174" s="1038"/>
      <c r="D174" s="1122"/>
      <c r="E174" s="1122"/>
      <c r="F174" s="1562" t="str">
        <f t="shared" si="35"/>
        <v>-</v>
      </c>
      <c r="G174" s="866"/>
      <c r="H174" s="867"/>
      <c r="I174" s="868"/>
      <c r="K174" s="4">
        <f t="shared" si="36"/>
        <v>0</v>
      </c>
    </row>
    <row r="175" spans="1:11" ht="12.75" thickBot="1">
      <c r="A175" s="898" t="s">
        <v>935</v>
      </c>
      <c r="B175" s="899" t="s">
        <v>938</v>
      </c>
      <c r="C175" s="1023"/>
      <c r="D175" s="1123">
        <v>18</v>
      </c>
      <c r="E175" s="1123">
        <v>18</v>
      </c>
      <c r="F175" s="1561">
        <f t="shared" si="35"/>
        <v>1</v>
      </c>
      <c r="G175" s="869">
        <v>18</v>
      </c>
      <c r="H175" s="870"/>
      <c r="I175" s="871"/>
      <c r="K175" s="4">
        <f t="shared" si="36"/>
        <v>0</v>
      </c>
    </row>
    <row r="176" spans="1:11" s="119" customFormat="1" ht="12.75" thickBot="1">
      <c r="A176" s="884" t="s">
        <v>10</v>
      </c>
      <c r="B176" s="905" t="s">
        <v>314</v>
      </c>
      <c r="C176" s="1035">
        <f t="shared" ref="C176:I176" si="37">+C109+C149</f>
        <v>3667147</v>
      </c>
      <c r="D176" s="1119">
        <f t="shared" si="37"/>
        <v>5530846</v>
      </c>
      <c r="E176" s="1119">
        <f t="shared" si="37"/>
        <v>2044019</v>
      </c>
      <c r="F176" s="1558">
        <f t="shared" si="35"/>
        <v>0.36956715120977873</v>
      </c>
      <c r="G176" s="110">
        <f t="shared" si="37"/>
        <v>2032711</v>
      </c>
      <c r="H176" s="111">
        <f t="shared" si="37"/>
        <v>11308</v>
      </c>
      <c r="I176" s="112">
        <f t="shared" si="37"/>
        <v>0</v>
      </c>
      <c r="K176" s="3">
        <f t="shared" si="36"/>
        <v>0</v>
      </c>
    </row>
    <row r="177" spans="1:11" s="119" customFormat="1" ht="12.75" thickBot="1">
      <c r="A177" s="884" t="s">
        <v>9</v>
      </c>
      <c r="B177" s="906" t="s">
        <v>315</v>
      </c>
      <c r="C177" s="1035">
        <f t="shared" ref="C177:I177" si="38">+C178</f>
        <v>868215</v>
      </c>
      <c r="D177" s="1119">
        <f t="shared" si="38"/>
        <v>937722</v>
      </c>
      <c r="E177" s="1119">
        <f t="shared" si="38"/>
        <v>929128</v>
      </c>
      <c r="F177" s="1558">
        <f t="shared" si="35"/>
        <v>0.99083523688257291</v>
      </c>
      <c r="G177" s="110">
        <f t="shared" si="38"/>
        <v>914631</v>
      </c>
      <c r="H177" s="111">
        <f t="shared" si="38"/>
        <v>13807</v>
      </c>
      <c r="I177" s="112">
        <f t="shared" si="38"/>
        <v>690</v>
      </c>
      <c r="K177" s="3">
        <f t="shared" si="36"/>
        <v>0</v>
      </c>
    </row>
    <row r="178" spans="1:11" s="119" customFormat="1" ht="12.75" thickBot="1">
      <c r="A178" s="884" t="s">
        <v>45</v>
      </c>
      <c r="B178" s="891" t="s">
        <v>945</v>
      </c>
      <c r="C178" s="1035">
        <f t="shared" ref="C178:I178" si="39">+C179+C189+C190+C191</f>
        <v>868215</v>
      </c>
      <c r="D178" s="1119">
        <f t="shared" si="39"/>
        <v>937722</v>
      </c>
      <c r="E178" s="1119">
        <f t="shared" si="39"/>
        <v>929128</v>
      </c>
      <c r="F178" s="1558">
        <f t="shared" si="35"/>
        <v>0.99083523688257291</v>
      </c>
      <c r="G178" s="110">
        <f t="shared" si="39"/>
        <v>914631</v>
      </c>
      <c r="H178" s="111">
        <f t="shared" si="39"/>
        <v>13807</v>
      </c>
      <c r="I178" s="112">
        <f t="shared" si="39"/>
        <v>690</v>
      </c>
      <c r="K178" s="3">
        <f t="shared" si="36"/>
        <v>0</v>
      </c>
    </row>
    <row r="179" spans="1:11">
      <c r="A179" s="892" t="s">
        <v>75</v>
      </c>
      <c r="B179" s="113" t="s">
        <v>946</v>
      </c>
      <c r="C179" s="1036">
        <f t="shared" ref="C179:I179" si="40">+C180+C181+C182+C183+C184+C185+C186+C187+C188</f>
        <v>868215</v>
      </c>
      <c r="D179" s="1120">
        <f t="shared" si="40"/>
        <v>937722</v>
      </c>
      <c r="E179" s="1120">
        <f t="shared" si="40"/>
        <v>929128</v>
      </c>
      <c r="F179" s="1560">
        <f t="shared" si="35"/>
        <v>0.99083523688257291</v>
      </c>
      <c r="G179" s="923">
        <f t="shared" si="40"/>
        <v>914631</v>
      </c>
      <c r="H179" s="924">
        <f t="shared" si="40"/>
        <v>13807</v>
      </c>
      <c r="I179" s="925">
        <f t="shared" si="40"/>
        <v>690</v>
      </c>
      <c r="K179" s="4">
        <f t="shared" si="36"/>
        <v>0</v>
      </c>
    </row>
    <row r="180" spans="1:11" s="117" customFormat="1">
      <c r="A180" s="108" t="s">
        <v>205</v>
      </c>
      <c r="B180" s="109" t="s">
        <v>170</v>
      </c>
      <c r="C180" s="1037"/>
      <c r="D180" s="1121">
        <v>65277</v>
      </c>
      <c r="E180" s="1121">
        <v>65277</v>
      </c>
      <c r="F180" s="1562">
        <f t="shared" si="35"/>
        <v>1</v>
      </c>
      <c r="G180" s="758">
        <v>65277</v>
      </c>
      <c r="H180" s="657"/>
      <c r="I180" s="658"/>
      <c r="K180" s="13">
        <f t="shared" si="36"/>
        <v>0</v>
      </c>
    </row>
    <row r="181" spans="1:11" s="117" customFormat="1">
      <c r="A181" s="108" t="s">
        <v>206</v>
      </c>
      <c r="B181" s="109" t="s">
        <v>171</v>
      </c>
      <c r="C181" s="1037"/>
      <c r="D181" s="1121"/>
      <c r="E181" s="1121"/>
      <c r="F181" s="1562" t="str">
        <f t="shared" si="35"/>
        <v>-</v>
      </c>
      <c r="G181" s="758"/>
      <c r="H181" s="657"/>
      <c r="I181" s="658"/>
      <c r="K181" s="13">
        <f t="shared" si="36"/>
        <v>0</v>
      </c>
    </row>
    <row r="182" spans="1:11" s="117" customFormat="1">
      <c r="A182" s="108" t="s">
        <v>207</v>
      </c>
      <c r="B182" s="109" t="s">
        <v>172</v>
      </c>
      <c r="C182" s="1037"/>
      <c r="D182" s="1121"/>
      <c r="E182" s="1121"/>
      <c r="F182" s="1562" t="str">
        <f t="shared" si="35"/>
        <v>-</v>
      </c>
      <c r="G182" s="758"/>
      <c r="H182" s="657"/>
      <c r="I182" s="658"/>
      <c r="K182" s="13">
        <f t="shared" si="36"/>
        <v>0</v>
      </c>
    </row>
    <row r="183" spans="1:11" s="117" customFormat="1">
      <c r="A183" s="108" t="s">
        <v>208</v>
      </c>
      <c r="B183" s="109" t="s">
        <v>173</v>
      </c>
      <c r="C183" s="1037">
        <v>26671</v>
      </c>
      <c r="D183" s="1121">
        <v>26671</v>
      </c>
      <c r="E183" s="1121">
        <v>26671</v>
      </c>
      <c r="F183" s="1562">
        <f t="shared" si="35"/>
        <v>1</v>
      </c>
      <c r="G183" s="758">
        <v>26671</v>
      </c>
      <c r="H183" s="657"/>
      <c r="I183" s="658"/>
      <c r="K183" s="13">
        <f t="shared" si="36"/>
        <v>0</v>
      </c>
    </row>
    <row r="184" spans="1:11" s="117" customFormat="1">
      <c r="A184" s="108" t="s">
        <v>209</v>
      </c>
      <c r="B184" s="109" t="s">
        <v>174</v>
      </c>
      <c r="C184" s="1037">
        <f>+'1.2.mell._HKÖH_Mérleg2019'!C79+'1.3.mell._HVÓBKI_Mérleg2019'!C79+'1.4.mell._HKK_Mérleg2019'!C79+'1.5._mell._MŐSZ_Mérleg2019'!C79+'1.6._mell._HVGYKCSSZ_Mérleg2019'!C79</f>
        <v>841544</v>
      </c>
      <c r="D184" s="1121">
        <f>+'1.2.mell._HKÖH_Mérleg2019'!D79+'1.3.mell._HVÓBKI_Mérleg2019'!D79+'1.4.mell._HKK_Mérleg2019'!D79+'1.5._mell._MŐSZ_Mérleg2019'!D79+'1.6._mell._HVGYKCSSZ_Mérleg2019'!D79</f>
        <v>845774</v>
      </c>
      <c r="E184" s="1121">
        <f>+'1.2.mell._HKÖH_Mérleg2019'!E79+'1.3.mell._HVÓBKI_Mérleg2019'!E79+'1.4.mell._HKK_Mérleg2019'!E79+'1.5._mell._MŐSZ_Mérleg2019'!E79+'1.6._mell._HVGYKCSSZ_Mérleg2019'!E79</f>
        <v>837180</v>
      </c>
      <c r="F184" s="1569">
        <f t="shared" si="35"/>
        <v>0.98983889313220785</v>
      </c>
      <c r="G184" s="758">
        <f>+'1.2.mell._HKÖH_Mérleg2019'!G79+'1.3.mell._HVÓBKI_Mérleg2019'!G79+'1.4.mell._HKK_Mérleg2019'!G79+'1.5._mell._MŐSZ_Mérleg2019'!G79+'1.6._mell._HVGYKCSSZ_Mérleg2019'!G79</f>
        <v>822683</v>
      </c>
      <c r="H184" s="656">
        <f>+'1.2.mell._HKÖH_Mérleg2019'!H79+'1.3.mell._HVÓBKI_Mérleg2019'!H79+'1.4.mell._HKK_Mérleg2019'!H79+'1.5._mell._MŐSZ_Mérleg2019'!H79+'1.6._mell._HVGYKCSSZ_Mérleg2019'!H79</f>
        <v>13807</v>
      </c>
      <c r="I184" s="759">
        <f>+'1.2.mell._HKÖH_Mérleg2019'!I79+'1.3.mell._HVÓBKI_Mérleg2019'!I79+'1.4.mell._HKK_Mérleg2019'!I79+'1.5._mell._MŐSZ_Mérleg2019'!I79+'1.6._mell._HVGYKCSSZ_Mérleg2019'!I79</f>
        <v>690</v>
      </c>
      <c r="K184" s="117">
        <f t="shared" si="36"/>
        <v>0</v>
      </c>
    </row>
    <row r="185" spans="1:11" s="117" customFormat="1">
      <c r="A185" s="108" t="s">
        <v>210</v>
      </c>
      <c r="B185" s="109" t="s">
        <v>179</v>
      </c>
      <c r="C185" s="1037"/>
      <c r="D185" s="1121"/>
      <c r="E185" s="1121"/>
      <c r="F185" s="1562" t="str">
        <f t="shared" si="35"/>
        <v>-</v>
      </c>
      <c r="G185" s="758"/>
      <c r="H185" s="657"/>
      <c r="I185" s="658"/>
      <c r="K185" s="13">
        <f t="shared" si="36"/>
        <v>0</v>
      </c>
    </row>
    <row r="186" spans="1:11" s="117" customFormat="1">
      <c r="A186" s="108" t="s">
        <v>211</v>
      </c>
      <c r="B186" s="109" t="s">
        <v>175</v>
      </c>
      <c r="C186" s="1037"/>
      <c r="D186" s="1121"/>
      <c r="E186" s="1121"/>
      <c r="F186" s="1562" t="str">
        <f t="shared" si="35"/>
        <v>-</v>
      </c>
      <c r="G186" s="758"/>
      <c r="H186" s="657"/>
      <c r="I186" s="658"/>
      <c r="K186" s="13">
        <f t="shared" si="36"/>
        <v>0</v>
      </c>
    </row>
    <row r="187" spans="1:11" s="117" customFormat="1">
      <c r="A187" s="108" t="s">
        <v>212</v>
      </c>
      <c r="B187" s="109" t="s">
        <v>176</v>
      </c>
      <c r="C187" s="1037"/>
      <c r="D187" s="1121"/>
      <c r="E187" s="1121"/>
      <c r="F187" s="1562" t="str">
        <f t="shared" si="35"/>
        <v>-</v>
      </c>
      <c r="G187" s="758"/>
      <c r="H187" s="657"/>
      <c r="I187" s="658"/>
      <c r="K187" s="13">
        <f t="shared" si="36"/>
        <v>0</v>
      </c>
    </row>
    <row r="188" spans="1:11" s="117" customFormat="1">
      <c r="A188" s="108" t="s">
        <v>939</v>
      </c>
      <c r="B188" s="109" t="s">
        <v>941</v>
      </c>
      <c r="C188" s="1037"/>
      <c r="D188" s="1121"/>
      <c r="E188" s="1121"/>
      <c r="F188" s="1562" t="str">
        <f t="shared" si="35"/>
        <v>-</v>
      </c>
      <c r="G188" s="758"/>
      <c r="H188" s="657"/>
      <c r="I188" s="658"/>
      <c r="K188" s="13">
        <f t="shared" si="36"/>
        <v>0</v>
      </c>
    </row>
    <row r="189" spans="1:11">
      <c r="A189" s="896" t="s">
        <v>76</v>
      </c>
      <c r="B189" s="897" t="s">
        <v>177</v>
      </c>
      <c r="C189" s="1038"/>
      <c r="D189" s="1122"/>
      <c r="E189" s="1122"/>
      <c r="F189" s="1562" t="str">
        <f t="shared" si="35"/>
        <v>-</v>
      </c>
      <c r="G189" s="926"/>
      <c r="H189" s="867"/>
      <c r="I189" s="868"/>
      <c r="K189" s="4">
        <f t="shared" si="36"/>
        <v>0</v>
      </c>
    </row>
    <row r="190" spans="1:11">
      <c r="A190" s="898" t="s">
        <v>77</v>
      </c>
      <c r="B190" s="899" t="s">
        <v>178</v>
      </c>
      <c r="C190" s="1023"/>
      <c r="D190" s="1123"/>
      <c r="E190" s="1123"/>
      <c r="F190" s="1561" t="str">
        <f t="shared" si="35"/>
        <v>-</v>
      </c>
      <c r="G190" s="927"/>
      <c r="H190" s="870"/>
      <c r="I190" s="871"/>
      <c r="K190" s="4">
        <f t="shared" si="36"/>
        <v>0</v>
      </c>
    </row>
    <row r="191" spans="1:11" ht="12.75" thickBot="1">
      <c r="A191" s="898" t="s">
        <v>944</v>
      </c>
      <c r="B191" s="899" t="s">
        <v>942</v>
      </c>
      <c r="C191" s="1023"/>
      <c r="D191" s="1123"/>
      <c r="E191" s="1123"/>
      <c r="F191" s="1561" t="str">
        <f t="shared" si="35"/>
        <v>-</v>
      </c>
      <c r="G191" s="928"/>
      <c r="H191" s="929"/>
      <c r="I191" s="930"/>
      <c r="K191" s="4">
        <f t="shared" si="36"/>
        <v>0</v>
      </c>
    </row>
    <row r="192" spans="1:11" s="119" customFormat="1" ht="12.75" thickBot="1">
      <c r="A192" s="884" t="s">
        <v>44</v>
      </c>
      <c r="B192" s="905" t="s">
        <v>316</v>
      </c>
      <c r="C192" s="1035">
        <f t="shared" ref="C192:I192" si="41">+C193</f>
        <v>13151</v>
      </c>
      <c r="D192" s="1119">
        <f t="shared" si="41"/>
        <v>51586</v>
      </c>
      <c r="E192" s="1119">
        <f t="shared" si="41"/>
        <v>51586</v>
      </c>
      <c r="F192" s="1558">
        <f t="shared" si="35"/>
        <v>1</v>
      </c>
      <c r="G192" s="110">
        <f t="shared" si="41"/>
        <v>51294</v>
      </c>
      <c r="H192" s="111">
        <f t="shared" si="41"/>
        <v>292</v>
      </c>
      <c r="I192" s="112">
        <f t="shared" si="41"/>
        <v>0</v>
      </c>
      <c r="K192" s="3">
        <f t="shared" si="36"/>
        <v>0</v>
      </c>
    </row>
    <row r="193" spans="1:11" s="119" customFormat="1" ht="12.75" thickBot="1">
      <c r="A193" s="884" t="s">
        <v>43</v>
      </c>
      <c r="B193" s="891" t="s">
        <v>940</v>
      </c>
      <c r="C193" s="1035">
        <f t="shared" ref="C193:I193" si="42">+C194+C204+C205+C206</f>
        <v>13151</v>
      </c>
      <c r="D193" s="1119">
        <f t="shared" si="42"/>
        <v>51586</v>
      </c>
      <c r="E193" s="1119">
        <f t="shared" si="42"/>
        <v>51586</v>
      </c>
      <c r="F193" s="1558">
        <f t="shared" si="35"/>
        <v>1</v>
      </c>
      <c r="G193" s="110">
        <f t="shared" si="42"/>
        <v>51294</v>
      </c>
      <c r="H193" s="111">
        <f t="shared" si="42"/>
        <v>292</v>
      </c>
      <c r="I193" s="112">
        <f t="shared" si="42"/>
        <v>0</v>
      </c>
      <c r="K193" s="3">
        <f t="shared" si="36"/>
        <v>0</v>
      </c>
    </row>
    <row r="194" spans="1:11">
      <c r="A194" s="892" t="s">
        <v>78</v>
      </c>
      <c r="B194" s="113" t="s">
        <v>978</v>
      </c>
      <c r="C194" s="1036">
        <f t="shared" ref="C194:I194" si="43">+C195+C196+C197+C198+C199+C200+C201+C202+C203</f>
        <v>13151</v>
      </c>
      <c r="D194" s="1120">
        <f t="shared" si="43"/>
        <v>51586</v>
      </c>
      <c r="E194" s="1120">
        <f t="shared" si="43"/>
        <v>51586</v>
      </c>
      <c r="F194" s="1560">
        <f t="shared" si="35"/>
        <v>1</v>
      </c>
      <c r="G194" s="923">
        <f t="shared" si="43"/>
        <v>51294</v>
      </c>
      <c r="H194" s="924">
        <f t="shared" si="43"/>
        <v>292</v>
      </c>
      <c r="I194" s="925">
        <f t="shared" si="43"/>
        <v>0</v>
      </c>
      <c r="K194" s="4">
        <f t="shared" si="36"/>
        <v>0</v>
      </c>
    </row>
    <row r="195" spans="1:11" s="117" customFormat="1">
      <c r="A195" s="108" t="s">
        <v>213</v>
      </c>
      <c r="B195" s="109" t="s">
        <v>170</v>
      </c>
      <c r="C195" s="1037"/>
      <c r="D195" s="1121"/>
      <c r="E195" s="1121"/>
      <c r="F195" s="1562" t="str">
        <f t="shared" si="35"/>
        <v>-</v>
      </c>
      <c r="G195" s="758"/>
      <c r="H195" s="657"/>
      <c r="I195" s="658"/>
      <c r="K195" s="13">
        <f t="shared" si="36"/>
        <v>0</v>
      </c>
    </row>
    <row r="196" spans="1:11" s="117" customFormat="1">
      <c r="A196" s="108" t="s">
        <v>214</v>
      </c>
      <c r="B196" s="109" t="s">
        <v>171</v>
      </c>
      <c r="C196" s="1037"/>
      <c r="D196" s="1121"/>
      <c r="E196" s="1121"/>
      <c r="F196" s="1562" t="str">
        <f t="shared" si="35"/>
        <v>-</v>
      </c>
      <c r="G196" s="758"/>
      <c r="H196" s="657"/>
      <c r="I196" s="658"/>
      <c r="K196" s="13">
        <f t="shared" si="36"/>
        <v>0</v>
      </c>
    </row>
    <row r="197" spans="1:11" s="117" customFormat="1">
      <c r="A197" s="108" t="s">
        <v>215</v>
      </c>
      <c r="B197" s="109" t="s">
        <v>172</v>
      </c>
      <c r="C197" s="1037"/>
      <c r="D197" s="1121"/>
      <c r="E197" s="1121"/>
      <c r="F197" s="1562" t="str">
        <f t="shared" si="35"/>
        <v>-</v>
      </c>
      <c r="G197" s="758"/>
      <c r="H197" s="657"/>
      <c r="I197" s="658"/>
      <c r="K197" s="13">
        <f t="shared" si="36"/>
        <v>0</v>
      </c>
    </row>
    <row r="198" spans="1:11" s="117" customFormat="1">
      <c r="A198" s="108" t="s">
        <v>216</v>
      </c>
      <c r="B198" s="109" t="s">
        <v>173</v>
      </c>
      <c r="C198" s="1037"/>
      <c r="D198" s="1121"/>
      <c r="E198" s="1121"/>
      <c r="F198" s="1562" t="str">
        <f t="shared" si="35"/>
        <v>-</v>
      </c>
      <c r="G198" s="758"/>
      <c r="H198" s="657"/>
      <c r="I198" s="658"/>
      <c r="K198" s="13">
        <f t="shared" si="36"/>
        <v>0</v>
      </c>
    </row>
    <row r="199" spans="1:11" s="117" customFormat="1">
      <c r="A199" s="108" t="s">
        <v>217</v>
      </c>
      <c r="B199" s="109" t="s">
        <v>174</v>
      </c>
      <c r="C199" s="1037">
        <f>+'1.2.mell._HKÖH_Mérleg2019'!C94+'1.3.mell._HVÓBKI_Mérleg2019'!C94+'1.4.mell._HKK_Mérleg2019'!C94+'1.5._mell._MŐSZ_Mérleg2019'!C94+'1.6._mell._HVGYKCSSZ_Mérleg2019'!C94</f>
        <v>13151</v>
      </c>
      <c r="D199" s="1121">
        <f>+'1.2.mell._HKÖH_Mérleg2019'!D94+'1.3.mell._HVÓBKI_Mérleg2019'!D94+'1.4.mell._HKK_Mérleg2019'!D94+'1.5._mell._MŐSZ_Mérleg2019'!D94+'1.6._mell._HVGYKCSSZ_Mérleg2019'!D94</f>
        <v>51586</v>
      </c>
      <c r="E199" s="1121">
        <f>+'1.2.mell._HKÖH_Mérleg2019'!E94+'1.3.mell._HVÓBKI_Mérleg2019'!E94+'1.4.mell._HKK_Mérleg2019'!E94+'1.5._mell._MŐSZ_Mérleg2019'!E94+'1.6._mell._HVGYKCSSZ_Mérleg2019'!E94</f>
        <v>51586</v>
      </c>
      <c r="F199" s="1569">
        <f t="shared" si="35"/>
        <v>1</v>
      </c>
      <c r="G199" s="758">
        <f>+'1.2.mell._HKÖH_Mérleg2019'!G94+'1.3.mell._HVÓBKI_Mérleg2019'!G94+'1.4.mell._HKK_Mérleg2019'!G94+'1.5._mell._MŐSZ_Mérleg2019'!G94+'1.6._mell._HVGYKCSSZ_Mérleg2019'!G94</f>
        <v>51294</v>
      </c>
      <c r="H199" s="656">
        <f>+'1.2.mell._HKÖH_Mérleg2019'!H94+'1.3.mell._HVÓBKI_Mérleg2019'!H94+'1.4.mell._HKK_Mérleg2019'!H94+'1.5._mell._MŐSZ_Mérleg2019'!H94+'1.6._mell._HVGYKCSSZ_Mérleg2019'!H94</f>
        <v>292</v>
      </c>
      <c r="I199" s="759">
        <f>+'1.2.mell._HKÖH_Mérleg2019'!I94+'1.3.mell._HVÓBKI_Mérleg2019'!I94+'1.4.mell._HKK_Mérleg2019'!I94+'1.5._mell._MŐSZ_Mérleg2019'!I94+'1.6._mell._HVGYKCSSZ_Mérleg2019'!I94</f>
        <v>0</v>
      </c>
      <c r="K199" s="117">
        <f t="shared" si="36"/>
        <v>0</v>
      </c>
    </row>
    <row r="200" spans="1:11" s="117" customFormat="1">
      <c r="A200" s="108" t="s">
        <v>218</v>
      </c>
      <c r="B200" s="109" t="s">
        <v>179</v>
      </c>
      <c r="C200" s="1037"/>
      <c r="D200" s="1121"/>
      <c r="E200" s="1121"/>
      <c r="F200" s="1562" t="str">
        <f t="shared" si="35"/>
        <v>-</v>
      </c>
      <c r="G200" s="758"/>
      <c r="H200" s="657"/>
      <c r="I200" s="658"/>
      <c r="K200" s="13">
        <f t="shared" si="36"/>
        <v>0</v>
      </c>
    </row>
    <row r="201" spans="1:11" s="117" customFormat="1">
      <c r="A201" s="108" t="s">
        <v>219</v>
      </c>
      <c r="B201" s="109" t="s">
        <v>175</v>
      </c>
      <c r="C201" s="1037"/>
      <c r="D201" s="1121"/>
      <c r="E201" s="1121"/>
      <c r="F201" s="1562" t="str">
        <f t="shared" si="35"/>
        <v>-</v>
      </c>
      <c r="G201" s="758"/>
      <c r="H201" s="657"/>
      <c r="I201" s="658"/>
      <c r="K201" s="13">
        <f t="shared" si="36"/>
        <v>0</v>
      </c>
    </row>
    <row r="202" spans="1:11" s="117" customFormat="1">
      <c r="A202" s="108" t="s">
        <v>220</v>
      </c>
      <c r="B202" s="109" t="s">
        <v>176</v>
      </c>
      <c r="C202" s="1037"/>
      <c r="D202" s="1121"/>
      <c r="E202" s="1121"/>
      <c r="F202" s="1562" t="str">
        <f t="shared" si="35"/>
        <v>-</v>
      </c>
      <c r="G202" s="758"/>
      <c r="H202" s="657"/>
      <c r="I202" s="658"/>
      <c r="K202" s="13">
        <f t="shared" si="36"/>
        <v>0</v>
      </c>
    </row>
    <row r="203" spans="1:11" s="117" customFormat="1">
      <c r="A203" s="108" t="s">
        <v>939</v>
      </c>
      <c r="B203" s="109" t="s">
        <v>941</v>
      </c>
      <c r="C203" s="1037"/>
      <c r="D203" s="1121"/>
      <c r="E203" s="1121"/>
      <c r="F203" s="1562" t="str">
        <f t="shared" si="35"/>
        <v>-</v>
      </c>
      <c r="G203" s="758"/>
      <c r="H203" s="657"/>
      <c r="I203" s="658"/>
      <c r="K203" s="13">
        <f t="shared" si="36"/>
        <v>0</v>
      </c>
    </row>
    <row r="204" spans="1:11">
      <c r="A204" s="896" t="s">
        <v>79</v>
      </c>
      <c r="B204" s="897" t="s">
        <v>177</v>
      </c>
      <c r="C204" s="1038"/>
      <c r="D204" s="1122"/>
      <c r="E204" s="1122"/>
      <c r="F204" s="1562" t="str">
        <f t="shared" si="35"/>
        <v>-</v>
      </c>
      <c r="G204" s="926"/>
      <c r="H204" s="867"/>
      <c r="I204" s="868"/>
      <c r="K204" s="4">
        <f t="shared" si="36"/>
        <v>0</v>
      </c>
    </row>
    <row r="205" spans="1:11">
      <c r="A205" s="898" t="s">
        <v>221</v>
      </c>
      <c r="B205" s="899" t="s">
        <v>178</v>
      </c>
      <c r="C205" s="1023"/>
      <c r="D205" s="1123"/>
      <c r="E205" s="1123"/>
      <c r="F205" s="1561" t="str">
        <f t="shared" si="35"/>
        <v>-</v>
      </c>
      <c r="G205" s="927"/>
      <c r="H205" s="870"/>
      <c r="I205" s="871"/>
      <c r="K205" s="4">
        <f t="shared" si="36"/>
        <v>0</v>
      </c>
    </row>
    <row r="206" spans="1:11" ht="12.75" thickBot="1">
      <c r="A206" s="898" t="s">
        <v>943</v>
      </c>
      <c r="B206" s="899" t="s">
        <v>942</v>
      </c>
      <c r="C206" s="1023"/>
      <c r="D206" s="1123"/>
      <c r="E206" s="1123"/>
      <c r="F206" s="1561" t="str">
        <f t="shared" si="35"/>
        <v>-</v>
      </c>
      <c r="G206" s="928"/>
      <c r="H206" s="929"/>
      <c r="I206" s="930"/>
      <c r="K206" s="4">
        <f t="shared" si="36"/>
        <v>0</v>
      </c>
    </row>
    <row r="207" spans="1:11" s="119" customFormat="1" ht="12.75" thickBot="1">
      <c r="A207" s="884" t="s">
        <v>40</v>
      </c>
      <c r="B207" s="905" t="s">
        <v>317</v>
      </c>
      <c r="C207" s="1035">
        <f t="shared" ref="C207:I207" si="44">+C177+C192</f>
        <v>881366</v>
      </c>
      <c r="D207" s="1119">
        <f t="shared" si="44"/>
        <v>989308</v>
      </c>
      <c r="E207" s="1119">
        <f t="shared" si="44"/>
        <v>980714</v>
      </c>
      <c r="F207" s="1558">
        <f t="shared" si="35"/>
        <v>0.99131311987773274</v>
      </c>
      <c r="G207" s="110">
        <f t="shared" si="44"/>
        <v>965925</v>
      </c>
      <c r="H207" s="111">
        <f t="shared" si="44"/>
        <v>14099</v>
      </c>
      <c r="I207" s="112">
        <f t="shared" si="44"/>
        <v>690</v>
      </c>
      <c r="K207" s="3">
        <f t="shared" si="36"/>
        <v>0</v>
      </c>
    </row>
    <row r="208" spans="1:11" s="119" customFormat="1" ht="12.75" thickBot="1">
      <c r="A208" s="907" t="s">
        <v>39</v>
      </c>
      <c r="B208" s="908" t="s">
        <v>335</v>
      </c>
      <c r="C208" s="1040">
        <f t="shared" ref="C208:I208" si="45">+C176+C207</f>
        <v>4548513</v>
      </c>
      <c r="D208" s="1125">
        <f t="shared" si="45"/>
        <v>6520154</v>
      </c>
      <c r="E208" s="1125">
        <f t="shared" si="45"/>
        <v>3024733</v>
      </c>
      <c r="F208" s="1564">
        <f t="shared" si="35"/>
        <v>0.46390514702566843</v>
      </c>
      <c r="G208" s="909">
        <f t="shared" si="45"/>
        <v>2998636</v>
      </c>
      <c r="H208" s="910">
        <f t="shared" si="45"/>
        <v>25407</v>
      </c>
      <c r="I208" s="911">
        <f t="shared" si="45"/>
        <v>690</v>
      </c>
      <c r="K208" s="3">
        <f t="shared" si="36"/>
        <v>0</v>
      </c>
    </row>
    <row r="211" spans="1:30" s="1" customFormat="1" ht="15.75">
      <c r="A211" s="1790" t="s">
        <v>89</v>
      </c>
      <c r="B211" s="1790"/>
      <c r="C211" s="1790"/>
      <c r="D211" s="1790"/>
      <c r="E211" s="1790"/>
      <c r="F211" s="1790"/>
      <c r="G211" s="1790"/>
      <c r="H211" s="1790"/>
      <c r="I211" s="1790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s="876" customFormat="1" ht="12.75" thickBot="1">
      <c r="A212" s="875" t="s">
        <v>282</v>
      </c>
      <c r="F212" s="1548"/>
      <c r="I212" s="877" t="s">
        <v>281</v>
      </c>
      <c r="K212" s="36"/>
    </row>
    <row r="213" spans="1:30" s="119" customFormat="1" ht="12.75" thickBot="1">
      <c r="A213" s="884" t="s">
        <v>4</v>
      </c>
      <c r="B213" s="905" t="s">
        <v>318</v>
      </c>
      <c r="C213" s="1035">
        <f t="shared" ref="C213:I213" si="46">+C214+C215</f>
        <v>-1867405</v>
      </c>
      <c r="D213" s="1119">
        <f t="shared" si="46"/>
        <v>-2152639</v>
      </c>
      <c r="E213" s="1119">
        <f t="shared" si="46"/>
        <v>1146362</v>
      </c>
      <c r="F213" s="1558">
        <f>IF(ISERROR(E213/D213),"-",E213/D213)</f>
        <v>-0.53253796851213786</v>
      </c>
      <c r="G213" s="110">
        <f t="shared" si="46"/>
        <v>1156732</v>
      </c>
      <c r="H213" s="111">
        <f t="shared" si="46"/>
        <v>-10370</v>
      </c>
      <c r="I213" s="112">
        <f t="shared" si="46"/>
        <v>0</v>
      </c>
      <c r="K213" s="3">
        <f>+E213-G213-H213-I213</f>
        <v>0</v>
      </c>
    </row>
    <row r="214" spans="1:30">
      <c r="A214" s="892" t="s">
        <v>81</v>
      </c>
      <c r="B214" s="931" t="s">
        <v>319</v>
      </c>
      <c r="C214" s="1036">
        <f t="shared" ref="C214:I214" si="47">+C10-C109</f>
        <v>-1783831</v>
      </c>
      <c r="D214" s="1120">
        <f t="shared" si="47"/>
        <v>-2080164</v>
      </c>
      <c r="E214" s="1120">
        <f t="shared" si="47"/>
        <v>943038</v>
      </c>
      <c r="F214" s="1560">
        <f>IF(ISERROR(E214/D214),"-",E214/D214)</f>
        <v>-0.45334790910716655</v>
      </c>
      <c r="G214" s="114">
        <f t="shared" si="47"/>
        <v>949496</v>
      </c>
      <c r="H214" s="115">
        <f t="shared" si="47"/>
        <v>-6458</v>
      </c>
      <c r="I214" s="116">
        <f t="shared" si="47"/>
        <v>0</v>
      </c>
      <c r="K214" s="4">
        <f>+E214-G214-H214-I214</f>
        <v>0</v>
      </c>
    </row>
    <row r="215" spans="1:30" ht="12.75" thickBot="1">
      <c r="A215" s="932" t="s">
        <v>82</v>
      </c>
      <c r="B215" s="933" t="s">
        <v>320</v>
      </c>
      <c r="C215" s="1045">
        <f t="shared" ref="C215:I215" si="48">+C50-C149</f>
        <v>-83574</v>
      </c>
      <c r="D215" s="1127">
        <f t="shared" si="48"/>
        <v>-72475</v>
      </c>
      <c r="E215" s="1127">
        <f t="shared" si="48"/>
        <v>203324</v>
      </c>
      <c r="F215" s="1566">
        <f>IF(ISERROR(E215/D215),"-",E215/D215)</f>
        <v>-2.8054363573646084</v>
      </c>
      <c r="G215" s="934">
        <f t="shared" si="48"/>
        <v>207236</v>
      </c>
      <c r="H215" s="929">
        <f t="shared" si="48"/>
        <v>-3912</v>
      </c>
      <c r="I215" s="930">
        <f t="shared" si="48"/>
        <v>0</v>
      </c>
      <c r="K215" s="4">
        <f>+E215-G215-H215-I215</f>
        <v>0</v>
      </c>
    </row>
    <row r="218" spans="1:30" s="1" customFormat="1" ht="15.75">
      <c r="A218" s="1790" t="s">
        <v>90</v>
      </c>
      <c r="B218" s="1790"/>
      <c r="C218" s="1790"/>
      <c r="D218" s="1790"/>
      <c r="E218" s="1790"/>
      <c r="F218" s="1790"/>
      <c r="G218" s="1790"/>
      <c r="H218" s="1790"/>
      <c r="I218" s="1790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s="876" customFormat="1" ht="12.75" thickBot="1">
      <c r="A219" s="875" t="s">
        <v>283</v>
      </c>
      <c r="F219" s="1548"/>
      <c r="I219" s="877" t="s">
        <v>281</v>
      </c>
      <c r="K219" s="36"/>
    </row>
    <row r="220" spans="1:30" s="119" customFormat="1" ht="12.75" thickBot="1">
      <c r="A220" s="884" t="s">
        <v>4</v>
      </c>
      <c r="B220" s="905" t="s">
        <v>321</v>
      </c>
      <c r="C220" s="1035">
        <f t="shared" ref="C220:I220" si="49">+C221+C228</f>
        <v>1867405</v>
      </c>
      <c r="D220" s="1119">
        <f t="shared" si="49"/>
        <v>2152639</v>
      </c>
      <c r="E220" s="1119">
        <f t="shared" si="49"/>
        <v>2161233</v>
      </c>
      <c r="F220" s="1558">
        <f t="shared" ref="F220:F234" si="50">IF(ISERROR(E220/D220),"-",E220/D220)</f>
        <v>1.0039923089751694</v>
      </c>
      <c r="G220" s="110">
        <f t="shared" si="49"/>
        <v>2176022</v>
      </c>
      <c r="H220" s="111">
        <f t="shared" si="49"/>
        <v>-14099</v>
      </c>
      <c r="I220" s="112">
        <f t="shared" si="49"/>
        <v>-690</v>
      </c>
      <c r="K220" s="3">
        <f t="shared" ref="K220:K234" si="51">+E220-G220-H220-I220</f>
        <v>0</v>
      </c>
    </row>
    <row r="221" spans="1:30" s="119" customFormat="1" ht="12.75" thickBot="1">
      <c r="A221" s="884" t="s">
        <v>5</v>
      </c>
      <c r="B221" s="891" t="s">
        <v>322</v>
      </c>
      <c r="C221" s="1035">
        <f t="shared" ref="C221:I221" si="52">+C222-C225</f>
        <v>1870557</v>
      </c>
      <c r="D221" s="1119">
        <f t="shared" si="52"/>
        <v>-288069</v>
      </c>
      <c r="E221" s="1119">
        <f t="shared" si="52"/>
        <v>-279475</v>
      </c>
      <c r="F221" s="1558">
        <f t="shared" si="50"/>
        <v>0.97016686974301292</v>
      </c>
      <c r="G221" s="110">
        <f t="shared" si="52"/>
        <v>-264978</v>
      </c>
      <c r="H221" s="111">
        <f t="shared" si="52"/>
        <v>-13807</v>
      </c>
      <c r="I221" s="112">
        <f t="shared" si="52"/>
        <v>-690</v>
      </c>
      <c r="K221" s="3">
        <f t="shared" si="51"/>
        <v>0</v>
      </c>
    </row>
    <row r="222" spans="1:30">
      <c r="A222" s="892" t="s">
        <v>54</v>
      </c>
      <c r="B222" s="113" t="s">
        <v>323</v>
      </c>
      <c r="C222" s="1036">
        <f t="shared" ref="C222:I222" si="53">+C223+C224</f>
        <v>2738772</v>
      </c>
      <c r="D222" s="1120">
        <f t="shared" si="53"/>
        <v>649653</v>
      </c>
      <c r="E222" s="1120">
        <f t="shared" si="53"/>
        <v>649653</v>
      </c>
      <c r="F222" s="1560">
        <f t="shared" si="50"/>
        <v>1</v>
      </c>
      <c r="G222" s="114">
        <f t="shared" si="53"/>
        <v>649653</v>
      </c>
      <c r="H222" s="115">
        <f t="shared" si="53"/>
        <v>0</v>
      </c>
      <c r="I222" s="116">
        <f t="shared" si="53"/>
        <v>0</v>
      </c>
      <c r="K222" s="4">
        <f t="shared" si="51"/>
        <v>0</v>
      </c>
    </row>
    <row r="223" spans="1:30" s="117" customFormat="1">
      <c r="A223" s="108" t="s">
        <v>190</v>
      </c>
      <c r="B223" s="109" t="s">
        <v>285</v>
      </c>
      <c r="C223" s="1037">
        <f t="shared" ref="C223:I223" si="54">+C76+C80</f>
        <v>2738772</v>
      </c>
      <c r="D223" s="1121">
        <f t="shared" si="54"/>
        <v>553930</v>
      </c>
      <c r="E223" s="1121">
        <f t="shared" si="54"/>
        <v>553930</v>
      </c>
      <c r="F223" s="1562">
        <f t="shared" si="50"/>
        <v>1</v>
      </c>
      <c r="G223" s="656">
        <f t="shared" si="54"/>
        <v>553930</v>
      </c>
      <c r="H223" s="657">
        <f t="shared" si="54"/>
        <v>0</v>
      </c>
      <c r="I223" s="658">
        <f t="shared" si="54"/>
        <v>0</v>
      </c>
      <c r="K223" s="13">
        <f t="shared" si="51"/>
        <v>0</v>
      </c>
    </row>
    <row r="224" spans="1:30" s="117" customFormat="1">
      <c r="A224" s="108" t="s">
        <v>191</v>
      </c>
      <c r="B224" s="109" t="s">
        <v>286</v>
      </c>
      <c r="C224" s="1037">
        <f t="shared" ref="C224:I224" si="55">+C74+C75+C77+C78+C79+C81</f>
        <v>0</v>
      </c>
      <c r="D224" s="1121">
        <f t="shared" si="55"/>
        <v>95723</v>
      </c>
      <c r="E224" s="1121">
        <f t="shared" si="55"/>
        <v>95723</v>
      </c>
      <c r="F224" s="1562">
        <f t="shared" si="50"/>
        <v>1</v>
      </c>
      <c r="G224" s="656">
        <f t="shared" si="55"/>
        <v>95723</v>
      </c>
      <c r="H224" s="657">
        <f t="shared" si="55"/>
        <v>0</v>
      </c>
      <c r="I224" s="658">
        <f t="shared" si="55"/>
        <v>0</v>
      </c>
      <c r="K224" s="13">
        <f t="shared" si="51"/>
        <v>0</v>
      </c>
    </row>
    <row r="225" spans="1:30">
      <c r="A225" s="896" t="s">
        <v>55</v>
      </c>
      <c r="B225" s="897" t="s">
        <v>324</v>
      </c>
      <c r="C225" s="1038">
        <f t="shared" ref="C225:I225" si="56">+C227</f>
        <v>868215</v>
      </c>
      <c r="D225" s="1122">
        <f t="shared" si="56"/>
        <v>937722</v>
      </c>
      <c r="E225" s="1122">
        <f t="shared" si="56"/>
        <v>929128</v>
      </c>
      <c r="F225" s="1562">
        <f t="shared" si="50"/>
        <v>0.99083523688257291</v>
      </c>
      <c r="G225" s="866">
        <f t="shared" si="56"/>
        <v>914631</v>
      </c>
      <c r="H225" s="867">
        <f t="shared" si="56"/>
        <v>13807</v>
      </c>
      <c r="I225" s="868">
        <f t="shared" si="56"/>
        <v>690</v>
      </c>
      <c r="K225" s="4">
        <f t="shared" si="51"/>
        <v>0</v>
      </c>
    </row>
    <row r="226" spans="1:30" s="117" customFormat="1">
      <c r="A226" s="108" t="s">
        <v>56</v>
      </c>
      <c r="B226" s="109" t="s">
        <v>287</v>
      </c>
      <c r="C226" s="1037">
        <f t="shared" ref="C226:I226" si="57">+C185</f>
        <v>0</v>
      </c>
      <c r="D226" s="1121">
        <f t="shared" si="57"/>
        <v>0</v>
      </c>
      <c r="E226" s="1121">
        <f t="shared" si="57"/>
        <v>0</v>
      </c>
      <c r="F226" s="1562" t="str">
        <f t="shared" si="50"/>
        <v>-</v>
      </c>
      <c r="G226" s="656">
        <f t="shared" si="57"/>
        <v>0</v>
      </c>
      <c r="H226" s="657">
        <f t="shared" si="57"/>
        <v>0</v>
      </c>
      <c r="I226" s="658">
        <f t="shared" si="57"/>
        <v>0</v>
      </c>
      <c r="K226" s="13">
        <f t="shared" si="51"/>
        <v>0</v>
      </c>
    </row>
    <row r="227" spans="1:30" s="117" customFormat="1" ht="12.75" thickBot="1">
      <c r="A227" s="900" t="s">
        <v>57</v>
      </c>
      <c r="B227" s="922" t="s">
        <v>288</v>
      </c>
      <c r="C227" s="1022">
        <f t="shared" ref="C227:I227" si="58">+C180+C181+C182+C183+C184+C186+C187</f>
        <v>868215</v>
      </c>
      <c r="D227" s="1124">
        <f t="shared" si="58"/>
        <v>937722</v>
      </c>
      <c r="E227" s="1124">
        <f t="shared" si="58"/>
        <v>929128</v>
      </c>
      <c r="F227" s="1561">
        <f t="shared" si="50"/>
        <v>0.99083523688257291</v>
      </c>
      <c r="G227" s="902">
        <f t="shared" si="58"/>
        <v>914631</v>
      </c>
      <c r="H227" s="903">
        <f t="shared" si="58"/>
        <v>13807</v>
      </c>
      <c r="I227" s="904">
        <f t="shared" si="58"/>
        <v>690</v>
      </c>
      <c r="K227" s="13">
        <f t="shared" si="51"/>
        <v>0</v>
      </c>
    </row>
    <row r="228" spans="1:30" s="119" customFormat="1" ht="12.75" thickBot="1">
      <c r="A228" s="884" t="s">
        <v>6</v>
      </c>
      <c r="B228" s="891" t="s">
        <v>325</v>
      </c>
      <c r="C228" s="1035">
        <f t="shared" ref="C228:I228" si="59">+C229-C232</f>
        <v>-3152</v>
      </c>
      <c r="D228" s="1119">
        <f t="shared" si="59"/>
        <v>2440708</v>
      </c>
      <c r="E228" s="1119">
        <f t="shared" si="59"/>
        <v>2440708</v>
      </c>
      <c r="F228" s="1558">
        <f t="shared" si="50"/>
        <v>1</v>
      </c>
      <c r="G228" s="110">
        <f t="shared" si="59"/>
        <v>2441000</v>
      </c>
      <c r="H228" s="111">
        <f t="shared" si="59"/>
        <v>-292</v>
      </c>
      <c r="I228" s="112">
        <f t="shared" si="59"/>
        <v>0</v>
      </c>
      <c r="K228" s="3">
        <f t="shared" si="51"/>
        <v>0</v>
      </c>
    </row>
    <row r="229" spans="1:30">
      <c r="A229" s="892" t="s">
        <v>58</v>
      </c>
      <c r="B229" s="113" t="s">
        <v>326</v>
      </c>
      <c r="C229" s="1036">
        <f t="shared" ref="C229:I229" si="60">+C230+C231</f>
        <v>9999</v>
      </c>
      <c r="D229" s="1120">
        <f t="shared" si="60"/>
        <v>2492294</v>
      </c>
      <c r="E229" s="1120">
        <f t="shared" si="60"/>
        <v>2492294</v>
      </c>
      <c r="F229" s="1560">
        <f t="shared" si="50"/>
        <v>1</v>
      </c>
      <c r="G229" s="114">
        <f t="shared" si="60"/>
        <v>2492294</v>
      </c>
      <c r="H229" s="115">
        <f t="shared" si="60"/>
        <v>0</v>
      </c>
      <c r="I229" s="116">
        <f t="shared" si="60"/>
        <v>0</v>
      </c>
      <c r="K229" s="4">
        <f t="shared" si="51"/>
        <v>0</v>
      </c>
    </row>
    <row r="230" spans="1:30" s="117" customFormat="1">
      <c r="A230" s="108" t="s">
        <v>293</v>
      </c>
      <c r="B230" s="109" t="s">
        <v>291</v>
      </c>
      <c r="C230" s="1037">
        <f t="shared" ref="C230:I230" si="61">+C91+C95</f>
        <v>0</v>
      </c>
      <c r="D230" s="1121">
        <f t="shared" si="61"/>
        <v>2492294</v>
      </c>
      <c r="E230" s="1121">
        <f t="shared" si="61"/>
        <v>2492294</v>
      </c>
      <c r="F230" s="1562">
        <f t="shared" si="50"/>
        <v>1</v>
      </c>
      <c r="G230" s="656">
        <f t="shared" si="61"/>
        <v>2492294</v>
      </c>
      <c r="H230" s="657">
        <f t="shared" si="61"/>
        <v>0</v>
      </c>
      <c r="I230" s="658">
        <f t="shared" si="61"/>
        <v>0</v>
      </c>
      <c r="K230" s="13">
        <f t="shared" si="51"/>
        <v>0</v>
      </c>
    </row>
    <row r="231" spans="1:30" s="117" customFormat="1">
      <c r="A231" s="108" t="s">
        <v>294</v>
      </c>
      <c r="B231" s="109" t="s">
        <v>292</v>
      </c>
      <c r="C231" s="1037">
        <f t="shared" ref="C231:I231" si="62">+C89+C90+C92+C93+C94+C96</f>
        <v>9999</v>
      </c>
      <c r="D231" s="1121">
        <f t="shared" si="62"/>
        <v>0</v>
      </c>
      <c r="E231" s="1121">
        <f t="shared" si="62"/>
        <v>0</v>
      </c>
      <c r="F231" s="1562" t="str">
        <f t="shared" si="50"/>
        <v>-</v>
      </c>
      <c r="G231" s="656">
        <f t="shared" si="62"/>
        <v>0</v>
      </c>
      <c r="H231" s="657">
        <f t="shared" si="62"/>
        <v>0</v>
      </c>
      <c r="I231" s="658">
        <f t="shared" si="62"/>
        <v>0</v>
      </c>
      <c r="K231" s="13">
        <f t="shared" si="51"/>
        <v>0</v>
      </c>
    </row>
    <row r="232" spans="1:30">
      <c r="A232" s="896" t="s">
        <v>59</v>
      </c>
      <c r="B232" s="897" t="s">
        <v>327</v>
      </c>
      <c r="C232" s="1038">
        <f t="shared" ref="C232:I232" si="63">+C233+C234</f>
        <v>13151</v>
      </c>
      <c r="D232" s="1122">
        <f t="shared" si="63"/>
        <v>51586</v>
      </c>
      <c r="E232" s="1122">
        <f t="shared" si="63"/>
        <v>51586</v>
      </c>
      <c r="F232" s="1562">
        <f t="shared" si="50"/>
        <v>1</v>
      </c>
      <c r="G232" s="866">
        <f t="shared" si="63"/>
        <v>51294</v>
      </c>
      <c r="H232" s="867">
        <f t="shared" si="63"/>
        <v>292</v>
      </c>
      <c r="I232" s="868">
        <f t="shared" si="63"/>
        <v>0</v>
      </c>
      <c r="K232" s="4">
        <f t="shared" si="51"/>
        <v>0</v>
      </c>
    </row>
    <row r="233" spans="1:30" s="117" customFormat="1">
      <c r="A233" s="108" t="s">
        <v>295</v>
      </c>
      <c r="B233" s="109" t="s">
        <v>289</v>
      </c>
      <c r="C233" s="1037">
        <f t="shared" ref="C233:I233" si="64">+C200</f>
        <v>0</v>
      </c>
      <c r="D233" s="1121">
        <f t="shared" si="64"/>
        <v>0</v>
      </c>
      <c r="E233" s="1121">
        <f t="shared" si="64"/>
        <v>0</v>
      </c>
      <c r="F233" s="1562" t="str">
        <f t="shared" si="50"/>
        <v>-</v>
      </c>
      <c r="G233" s="656">
        <f t="shared" si="64"/>
        <v>0</v>
      </c>
      <c r="H233" s="657">
        <f t="shared" si="64"/>
        <v>0</v>
      </c>
      <c r="I233" s="658">
        <f t="shared" si="64"/>
        <v>0</v>
      </c>
      <c r="K233" s="13">
        <f t="shared" si="51"/>
        <v>0</v>
      </c>
    </row>
    <row r="234" spans="1:30" s="117" customFormat="1" ht="12.75" thickBot="1">
      <c r="A234" s="935" t="s">
        <v>296</v>
      </c>
      <c r="B234" s="936" t="s">
        <v>290</v>
      </c>
      <c r="C234" s="1046">
        <f t="shared" ref="C234:I234" si="65">+C195+C196+C197+C198+C199+C201+C202</f>
        <v>13151</v>
      </c>
      <c r="D234" s="1128">
        <f t="shared" si="65"/>
        <v>51586</v>
      </c>
      <c r="E234" s="1128">
        <f t="shared" si="65"/>
        <v>51586</v>
      </c>
      <c r="F234" s="1566">
        <f t="shared" si="50"/>
        <v>1</v>
      </c>
      <c r="G234" s="937">
        <f t="shared" si="65"/>
        <v>51294</v>
      </c>
      <c r="H234" s="938">
        <f t="shared" si="65"/>
        <v>292</v>
      </c>
      <c r="I234" s="939">
        <f t="shared" si="65"/>
        <v>0</v>
      </c>
      <c r="K234" s="13">
        <f t="shared" si="51"/>
        <v>0</v>
      </c>
    </row>
    <row r="237" spans="1:30" s="1" customFormat="1" ht="15.75">
      <c r="A237" s="1790" t="s">
        <v>1307</v>
      </c>
      <c r="B237" s="1790"/>
      <c r="C237" s="1790"/>
      <c r="D237" s="1790"/>
      <c r="E237" s="1790"/>
      <c r="F237" s="1790"/>
      <c r="G237" s="1790"/>
      <c r="H237" s="1790"/>
      <c r="I237" s="179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876" customFormat="1" ht="12.75" thickBot="1">
      <c r="A238" s="875" t="s">
        <v>284</v>
      </c>
      <c r="F238" s="1548"/>
      <c r="I238" s="877"/>
      <c r="K238" s="36"/>
    </row>
    <row r="239" spans="1:30" s="119" customFormat="1">
      <c r="A239" s="940" t="s">
        <v>4</v>
      </c>
      <c r="B239" s="941" t="s">
        <v>91</v>
      </c>
      <c r="C239" s="1025">
        <v>1</v>
      </c>
      <c r="D239" s="1129">
        <f>1+26+23+4+5+9+6</f>
        <v>74</v>
      </c>
      <c r="E239" s="1129">
        <f>23+4+5+9+6</f>
        <v>47</v>
      </c>
      <c r="F239" s="1559">
        <f>IF(ISERROR(E239/D239),"-",E239/D239)</f>
        <v>0.63513513513513509</v>
      </c>
      <c r="G239" s="942">
        <v>47</v>
      </c>
      <c r="H239" s="943"/>
      <c r="I239" s="944"/>
      <c r="K239" s="3">
        <f>+E239-G239-H239-I239</f>
        <v>0</v>
      </c>
    </row>
    <row r="240" spans="1:30" s="117" customFormat="1">
      <c r="A240" s="900" t="s">
        <v>351</v>
      </c>
      <c r="B240" s="945" t="s">
        <v>352</v>
      </c>
      <c r="C240" s="1026"/>
      <c r="D240" s="1130">
        <f>4+5+9+6</f>
        <v>24</v>
      </c>
      <c r="E240" s="1130">
        <f>4+5+9+6</f>
        <v>24</v>
      </c>
      <c r="F240" s="1561">
        <f>IF(ISERROR(E240/D240),"-",E240/D240)</f>
        <v>1</v>
      </c>
      <c r="G240" s="946">
        <v>24</v>
      </c>
      <c r="H240" s="947"/>
      <c r="I240" s="948"/>
      <c r="K240" s="13">
        <f>+E240-G240-H240-I240</f>
        <v>0</v>
      </c>
    </row>
    <row r="241" spans="1:11" s="119" customFormat="1" ht="12.75" thickBot="1">
      <c r="A241" s="949" t="s">
        <v>5</v>
      </c>
      <c r="B241" s="950" t="s">
        <v>92</v>
      </c>
      <c r="C241" s="1027">
        <v>121</v>
      </c>
      <c r="D241" s="1131">
        <f>121+36</f>
        <v>157</v>
      </c>
      <c r="E241" s="1131">
        <f>77+44</f>
        <v>121</v>
      </c>
      <c r="F241" s="1567">
        <f>IF(ISERROR(E241/D241),"-",E241/D241)</f>
        <v>0.77070063694267521</v>
      </c>
      <c r="G241" s="951">
        <v>121</v>
      </c>
      <c r="H241" s="952"/>
      <c r="I241" s="953"/>
      <c r="K241" s="3">
        <f>+E241-G241-H241-I241</f>
        <v>0</v>
      </c>
    </row>
    <row r="242" spans="1:11" s="119" customFormat="1" ht="12.75" thickBot="1">
      <c r="A242" s="884" t="s">
        <v>6</v>
      </c>
      <c r="B242" s="905" t="s">
        <v>330</v>
      </c>
      <c r="C242" s="1028">
        <f t="shared" ref="C242:I242" si="66">+C239+C241</f>
        <v>122</v>
      </c>
      <c r="D242" s="1132">
        <f t="shared" si="66"/>
        <v>231</v>
      </c>
      <c r="E242" s="1132">
        <f t="shared" si="66"/>
        <v>168</v>
      </c>
      <c r="F242" s="1558">
        <f>IF(ISERROR(E242/D242),"-",E242/D242)</f>
        <v>0.72727272727272729</v>
      </c>
      <c r="G242" s="954">
        <f t="shared" si="66"/>
        <v>168</v>
      </c>
      <c r="H242" s="955">
        <f t="shared" si="66"/>
        <v>0</v>
      </c>
      <c r="I242" s="956">
        <f t="shared" si="66"/>
        <v>0</v>
      </c>
      <c r="K242" s="3">
        <f>+E242-G242-H242-I242</f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conditionalFormatting sqref="F26:F31 F89:F100 F74:F85 F65:F69 F59:F63 F52:F57 F45:F49 F33:F43 F13:F24 F195:F206 F180:F191 F166:F175 F151:F158 F147:F148 F133:F145 F124:F131 F117:F122 F111:F115 F160:F164">
    <cfRule type="cellIs" dxfId="12" priority="2" stopIfTrue="1" operator="equal">
      <formula>0</formula>
    </cfRule>
  </conditionalFormatting>
  <conditionalFormatting sqref="F74:F85 F65:F69 F59:F63 F52:F57 F45:F49 F33:F43 F13:F24 F195:F206 F180:F191 F166:F175 F160:F164 F151:F158 F147:F148 F133:F145 F124:F131 F117:F122 F111:F115 F26:F31 F89:F100">
    <cfRule type="cellIs" dxfId="11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1.1. melléklet - &amp;P. oldal</oddHeader>
  </headerFooter>
  <rowBreaks count="1" manualBreakCount="1">
    <brk id="104" max="5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H16"/>
  <sheetViews>
    <sheetView zoomScaleNormal="100" workbookViewId="0"/>
  </sheetViews>
  <sheetFormatPr defaultRowHeight="16.5" customHeight="1"/>
  <cols>
    <col min="1" max="1" width="4.7109375" style="1427" customWidth="1"/>
    <col min="2" max="2" width="41.7109375" style="1427" customWidth="1"/>
    <col min="3" max="3" width="11.5703125" style="1427" customWidth="1"/>
    <col min="4" max="4" width="11" style="1427" customWidth="1"/>
    <col min="5" max="5" width="25.42578125" style="1427" bestFit="1" customWidth="1"/>
    <col min="6" max="6" width="11.140625" style="1427" customWidth="1"/>
    <col min="7" max="7" width="13.140625" style="1427" customWidth="1"/>
    <col min="8" max="8" width="14.140625" style="1427" customWidth="1"/>
    <col min="9" max="256" width="9.140625" style="1427"/>
    <col min="257" max="257" width="4.7109375" style="1427" customWidth="1"/>
    <col min="258" max="258" width="41.7109375" style="1427" customWidth="1"/>
    <col min="259" max="259" width="11.5703125" style="1427" customWidth="1"/>
    <col min="260" max="260" width="11" style="1427" customWidth="1"/>
    <col min="261" max="261" width="25.42578125" style="1427" bestFit="1" customWidth="1"/>
    <col min="262" max="262" width="11.140625" style="1427" customWidth="1"/>
    <col min="263" max="263" width="13.140625" style="1427" customWidth="1"/>
    <col min="264" max="264" width="14.140625" style="1427" customWidth="1"/>
    <col min="265" max="512" width="9.140625" style="1427"/>
    <col min="513" max="513" width="4.7109375" style="1427" customWidth="1"/>
    <col min="514" max="514" width="41.7109375" style="1427" customWidth="1"/>
    <col min="515" max="515" width="11.5703125" style="1427" customWidth="1"/>
    <col min="516" max="516" width="11" style="1427" customWidth="1"/>
    <col min="517" max="517" width="25.42578125" style="1427" bestFit="1" customWidth="1"/>
    <col min="518" max="518" width="11.140625" style="1427" customWidth="1"/>
    <col min="519" max="519" width="13.140625" style="1427" customWidth="1"/>
    <col min="520" max="520" width="14.140625" style="1427" customWidth="1"/>
    <col min="521" max="768" width="9.140625" style="1427"/>
    <col min="769" max="769" width="4.7109375" style="1427" customWidth="1"/>
    <col min="770" max="770" width="41.7109375" style="1427" customWidth="1"/>
    <col min="771" max="771" width="11.5703125" style="1427" customWidth="1"/>
    <col min="772" max="772" width="11" style="1427" customWidth="1"/>
    <col min="773" max="773" width="25.42578125" style="1427" bestFit="1" customWidth="1"/>
    <col min="774" max="774" width="11.140625" style="1427" customWidth="1"/>
    <col min="775" max="775" width="13.140625" style="1427" customWidth="1"/>
    <col min="776" max="776" width="14.140625" style="1427" customWidth="1"/>
    <col min="777" max="1024" width="9.140625" style="1427"/>
    <col min="1025" max="1025" width="4.7109375" style="1427" customWidth="1"/>
    <col min="1026" max="1026" width="41.7109375" style="1427" customWidth="1"/>
    <col min="1027" max="1027" width="11.5703125" style="1427" customWidth="1"/>
    <col min="1028" max="1028" width="11" style="1427" customWidth="1"/>
    <col min="1029" max="1029" width="25.42578125" style="1427" bestFit="1" customWidth="1"/>
    <col min="1030" max="1030" width="11.140625" style="1427" customWidth="1"/>
    <col min="1031" max="1031" width="13.140625" style="1427" customWidth="1"/>
    <col min="1032" max="1032" width="14.140625" style="1427" customWidth="1"/>
    <col min="1033" max="1280" width="9.140625" style="1427"/>
    <col min="1281" max="1281" width="4.7109375" style="1427" customWidth="1"/>
    <col min="1282" max="1282" width="41.7109375" style="1427" customWidth="1"/>
    <col min="1283" max="1283" width="11.5703125" style="1427" customWidth="1"/>
    <col min="1284" max="1284" width="11" style="1427" customWidth="1"/>
    <col min="1285" max="1285" width="25.42578125" style="1427" bestFit="1" customWidth="1"/>
    <col min="1286" max="1286" width="11.140625" style="1427" customWidth="1"/>
    <col min="1287" max="1287" width="13.140625" style="1427" customWidth="1"/>
    <col min="1288" max="1288" width="14.140625" style="1427" customWidth="1"/>
    <col min="1289" max="1536" width="9.140625" style="1427"/>
    <col min="1537" max="1537" width="4.7109375" style="1427" customWidth="1"/>
    <col min="1538" max="1538" width="41.7109375" style="1427" customWidth="1"/>
    <col min="1539" max="1539" width="11.5703125" style="1427" customWidth="1"/>
    <col min="1540" max="1540" width="11" style="1427" customWidth="1"/>
    <col min="1541" max="1541" width="25.42578125" style="1427" bestFit="1" customWidth="1"/>
    <col min="1542" max="1542" width="11.140625" style="1427" customWidth="1"/>
    <col min="1543" max="1543" width="13.140625" style="1427" customWidth="1"/>
    <col min="1544" max="1544" width="14.140625" style="1427" customWidth="1"/>
    <col min="1545" max="1792" width="9.140625" style="1427"/>
    <col min="1793" max="1793" width="4.7109375" style="1427" customWidth="1"/>
    <col min="1794" max="1794" width="41.7109375" style="1427" customWidth="1"/>
    <col min="1795" max="1795" width="11.5703125" style="1427" customWidth="1"/>
    <col min="1796" max="1796" width="11" style="1427" customWidth="1"/>
    <col min="1797" max="1797" width="25.42578125" style="1427" bestFit="1" customWidth="1"/>
    <col min="1798" max="1798" width="11.140625" style="1427" customWidth="1"/>
    <col min="1799" max="1799" width="13.140625" style="1427" customWidth="1"/>
    <col min="1800" max="1800" width="14.140625" style="1427" customWidth="1"/>
    <col min="1801" max="2048" width="9.140625" style="1427"/>
    <col min="2049" max="2049" width="4.7109375" style="1427" customWidth="1"/>
    <col min="2050" max="2050" width="41.7109375" style="1427" customWidth="1"/>
    <col min="2051" max="2051" width="11.5703125" style="1427" customWidth="1"/>
    <col min="2052" max="2052" width="11" style="1427" customWidth="1"/>
    <col min="2053" max="2053" width="25.42578125" style="1427" bestFit="1" customWidth="1"/>
    <col min="2054" max="2054" width="11.140625" style="1427" customWidth="1"/>
    <col min="2055" max="2055" width="13.140625" style="1427" customWidth="1"/>
    <col min="2056" max="2056" width="14.140625" style="1427" customWidth="1"/>
    <col min="2057" max="2304" width="9.140625" style="1427"/>
    <col min="2305" max="2305" width="4.7109375" style="1427" customWidth="1"/>
    <col min="2306" max="2306" width="41.7109375" style="1427" customWidth="1"/>
    <col min="2307" max="2307" width="11.5703125" style="1427" customWidth="1"/>
    <col min="2308" max="2308" width="11" style="1427" customWidth="1"/>
    <col min="2309" max="2309" width="25.42578125" style="1427" bestFit="1" customWidth="1"/>
    <col min="2310" max="2310" width="11.140625" style="1427" customWidth="1"/>
    <col min="2311" max="2311" width="13.140625" style="1427" customWidth="1"/>
    <col min="2312" max="2312" width="14.140625" style="1427" customWidth="1"/>
    <col min="2313" max="2560" width="9.140625" style="1427"/>
    <col min="2561" max="2561" width="4.7109375" style="1427" customWidth="1"/>
    <col min="2562" max="2562" width="41.7109375" style="1427" customWidth="1"/>
    <col min="2563" max="2563" width="11.5703125" style="1427" customWidth="1"/>
    <col min="2564" max="2564" width="11" style="1427" customWidth="1"/>
    <col min="2565" max="2565" width="25.42578125" style="1427" bestFit="1" customWidth="1"/>
    <col min="2566" max="2566" width="11.140625" style="1427" customWidth="1"/>
    <col min="2567" max="2567" width="13.140625" style="1427" customWidth="1"/>
    <col min="2568" max="2568" width="14.140625" style="1427" customWidth="1"/>
    <col min="2569" max="2816" width="9.140625" style="1427"/>
    <col min="2817" max="2817" width="4.7109375" style="1427" customWidth="1"/>
    <col min="2818" max="2818" width="41.7109375" style="1427" customWidth="1"/>
    <col min="2819" max="2819" width="11.5703125" style="1427" customWidth="1"/>
    <col min="2820" max="2820" width="11" style="1427" customWidth="1"/>
    <col min="2821" max="2821" width="25.42578125" style="1427" bestFit="1" customWidth="1"/>
    <col min="2822" max="2822" width="11.140625" style="1427" customWidth="1"/>
    <col min="2823" max="2823" width="13.140625" style="1427" customWidth="1"/>
    <col min="2824" max="2824" width="14.140625" style="1427" customWidth="1"/>
    <col min="2825" max="3072" width="9.140625" style="1427"/>
    <col min="3073" max="3073" width="4.7109375" style="1427" customWidth="1"/>
    <col min="3074" max="3074" width="41.7109375" style="1427" customWidth="1"/>
    <col min="3075" max="3075" width="11.5703125" style="1427" customWidth="1"/>
    <col min="3076" max="3076" width="11" style="1427" customWidth="1"/>
    <col min="3077" max="3077" width="25.42578125" style="1427" bestFit="1" customWidth="1"/>
    <col min="3078" max="3078" width="11.140625" style="1427" customWidth="1"/>
    <col min="3079" max="3079" width="13.140625" style="1427" customWidth="1"/>
    <col min="3080" max="3080" width="14.140625" style="1427" customWidth="1"/>
    <col min="3081" max="3328" width="9.140625" style="1427"/>
    <col min="3329" max="3329" width="4.7109375" style="1427" customWidth="1"/>
    <col min="3330" max="3330" width="41.7109375" style="1427" customWidth="1"/>
    <col min="3331" max="3331" width="11.5703125" style="1427" customWidth="1"/>
    <col min="3332" max="3332" width="11" style="1427" customWidth="1"/>
    <col min="3333" max="3333" width="25.42578125" style="1427" bestFit="1" customWidth="1"/>
    <col min="3334" max="3334" width="11.140625" style="1427" customWidth="1"/>
    <col min="3335" max="3335" width="13.140625" style="1427" customWidth="1"/>
    <col min="3336" max="3336" width="14.140625" style="1427" customWidth="1"/>
    <col min="3337" max="3584" width="9.140625" style="1427"/>
    <col min="3585" max="3585" width="4.7109375" style="1427" customWidth="1"/>
    <col min="3586" max="3586" width="41.7109375" style="1427" customWidth="1"/>
    <col min="3587" max="3587" width="11.5703125" style="1427" customWidth="1"/>
    <col min="3588" max="3588" width="11" style="1427" customWidth="1"/>
    <col min="3589" max="3589" width="25.42578125" style="1427" bestFit="1" customWidth="1"/>
    <col min="3590" max="3590" width="11.140625" style="1427" customWidth="1"/>
    <col min="3591" max="3591" width="13.140625" style="1427" customWidth="1"/>
    <col min="3592" max="3592" width="14.140625" style="1427" customWidth="1"/>
    <col min="3593" max="3840" width="9.140625" style="1427"/>
    <col min="3841" max="3841" width="4.7109375" style="1427" customWidth="1"/>
    <col min="3842" max="3842" width="41.7109375" style="1427" customWidth="1"/>
    <col min="3843" max="3843" width="11.5703125" style="1427" customWidth="1"/>
    <col min="3844" max="3844" width="11" style="1427" customWidth="1"/>
    <col min="3845" max="3845" width="25.42578125" style="1427" bestFit="1" customWidth="1"/>
    <col min="3846" max="3846" width="11.140625" style="1427" customWidth="1"/>
    <col min="3847" max="3847" width="13.140625" style="1427" customWidth="1"/>
    <col min="3848" max="3848" width="14.140625" style="1427" customWidth="1"/>
    <col min="3849" max="4096" width="9.140625" style="1427"/>
    <col min="4097" max="4097" width="4.7109375" style="1427" customWidth="1"/>
    <col min="4098" max="4098" width="41.7109375" style="1427" customWidth="1"/>
    <col min="4099" max="4099" width="11.5703125" style="1427" customWidth="1"/>
    <col min="4100" max="4100" width="11" style="1427" customWidth="1"/>
    <col min="4101" max="4101" width="25.42578125" style="1427" bestFit="1" customWidth="1"/>
    <col min="4102" max="4102" width="11.140625" style="1427" customWidth="1"/>
    <col min="4103" max="4103" width="13.140625" style="1427" customWidth="1"/>
    <col min="4104" max="4104" width="14.140625" style="1427" customWidth="1"/>
    <col min="4105" max="4352" width="9.140625" style="1427"/>
    <col min="4353" max="4353" width="4.7109375" style="1427" customWidth="1"/>
    <col min="4354" max="4354" width="41.7109375" style="1427" customWidth="1"/>
    <col min="4355" max="4355" width="11.5703125" style="1427" customWidth="1"/>
    <col min="4356" max="4356" width="11" style="1427" customWidth="1"/>
    <col min="4357" max="4357" width="25.42578125" style="1427" bestFit="1" customWidth="1"/>
    <col min="4358" max="4358" width="11.140625" style="1427" customWidth="1"/>
    <col min="4359" max="4359" width="13.140625" style="1427" customWidth="1"/>
    <col min="4360" max="4360" width="14.140625" style="1427" customWidth="1"/>
    <col min="4361" max="4608" width="9.140625" style="1427"/>
    <col min="4609" max="4609" width="4.7109375" style="1427" customWidth="1"/>
    <col min="4610" max="4610" width="41.7109375" style="1427" customWidth="1"/>
    <col min="4611" max="4611" width="11.5703125" style="1427" customWidth="1"/>
    <col min="4612" max="4612" width="11" style="1427" customWidth="1"/>
    <col min="4613" max="4613" width="25.42578125" style="1427" bestFit="1" customWidth="1"/>
    <col min="4614" max="4614" width="11.140625" style="1427" customWidth="1"/>
    <col min="4615" max="4615" width="13.140625" style="1427" customWidth="1"/>
    <col min="4616" max="4616" width="14.140625" style="1427" customWidth="1"/>
    <col min="4617" max="4864" width="9.140625" style="1427"/>
    <col min="4865" max="4865" width="4.7109375" style="1427" customWidth="1"/>
    <col min="4866" max="4866" width="41.7109375" style="1427" customWidth="1"/>
    <col min="4867" max="4867" width="11.5703125" style="1427" customWidth="1"/>
    <col min="4868" max="4868" width="11" style="1427" customWidth="1"/>
    <col min="4869" max="4869" width="25.42578125" style="1427" bestFit="1" customWidth="1"/>
    <col min="4870" max="4870" width="11.140625" style="1427" customWidth="1"/>
    <col min="4871" max="4871" width="13.140625" style="1427" customWidth="1"/>
    <col min="4872" max="4872" width="14.140625" style="1427" customWidth="1"/>
    <col min="4873" max="5120" width="9.140625" style="1427"/>
    <col min="5121" max="5121" width="4.7109375" style="1427" customWidth="1"/>
    <col min="5122" max="5122" width="41.7109375" style="1427" customWidth="1"/>
    <col min="5123" max="5123" width="11.5703125" style="1427" customWidth="1"/>
    <col min="5124" max="5124" width="11" style="1427" customWidth="1"/>
    <col min="5125" max="5125" width="25.42578125" style="1427" bestFit="1" customWidth="1"/>
    <col min="5126" max="5126" width="11.140625" style="1427" customWidth="1"/>
    <col min="5127" max="5127" width="13.140625" style="1427" customWidth="1"/>
    <col min="5128" max="5128" width="14.140625" style="1427" customWidth="1"/>
    <col min="5129" max="5376" width="9.140625" style="1427"/>
    <col min="5377" max="5377" width="4.7109375" style="1427" customWidth="1"/>
    <col min="5378" max="5378" width="41.7109375" style="1427" customWidth="1"/>
    <col min="5379" max="5379" width="11.5703125" style="1427" customWidth="1"/>
    <col min="5380" max="5380" width="11" style="1427" customWidth="1"/>
    <col min="5381" max="5381" width="25.42578125" style="1427" bestFit="1" customWidth="1"/>
    <col min="5382" max="5382" width="11.140625" style="1427" customWidth="1"/>
    <col min="5383" max="5383" width="13.140625" style="1427" customWidth="1"/>
    <col min="5384" max="5384" width="14.140625" style="1427" customWidth="1"/>
    <col min="5385" max="5632" width="9.140625" style="1427"/>
    <col min="5633" max="5633" width="4.7109375" style="1427" customWidth="1"/>
    <col min="5634" max="5634" width="41.7109375" style="1427" customWidth="1"/>
    <col min="5635" max="5635" width="11.5703125" style="1427" customWidth="1"/>
    <col min="5636" max="5636" width="11" style="1427" customWidth="1"/>
    <col min="5637" max="5637" width="25.42578125" style="1427" bestFit="1" customWidth="1"/>
    <col min="5638" max="5638" width="11.140625" style="1427" customWidth="1"/>
    <col min="5639" max="5639" width="13.140625" style="1427" customWidth="1"/>
    <col min="5640" max="5640" width="14.140625" style="1427" customWidth="1"/>
    <col min="5641" max="5888" width="9.140625" style="1427"/>
    <col min="5889" max="5889" width="4.7109375" style="1427" customWidth="1"/>
    <col min="5890" max="5890" width="41.7109375" style="1427" customWidth="1"/>
    <col min="5891" max="5891" width="11.5703125" style="1427" customWidth="1"/>
    <col min="5892" max="5892" width="11" style="1427" customWidth="1"/>
    <col min="5893" max="5893" width="25.42578125" style="1427" bestFit="1" customWidth="1"/>
    <col min="5894" max="5894" width="11.140625" style="1427" customWidth="1"/>
    <col min="5895" max="5895" width="13.140625" style="1427" customWidth="1"/>
    <col min="5896" max="5896" width="14.140625" style="1427" customWidth="1"/>
    <col min="5897" max="6144" width="9.140625" style="1427"/>
    <col min="6145" max="6145" width="4.7109375" style="1427" customWidth="1"/>
    <col min="6146" max="6146" width="41.7109375" style="1427" customWidth="1"/>
    <col min="6147" max="6147" width="11.5703125" style="1427" customWidth="1"/>
    <col min="6148" max="6148" width="11" style="1427" customWidth="1"/>
    <col min="6149" max="6149" width="25.42578125" style="1427" bestFit="1" customWidth="1"/>
    <col min="6150" max="6150" width="11.140625" style="1427" customWidth="1"/>
    <col min="6151" max="6151" width="13.140625" style="1427" customWidth="1"/>
    <col min="6152" max="6152" width="14.140625" style="1427" customWidth="1"/>
    <col min="6153" max="6400" width="9.140625" style="1427"/>
    <col min="6401" max="6401" width="4.7109375" style="1427" customWidth="1"/>
    <col min="6402" max="6402" width="41.7109375" style="1427" customWidth="1"/>
    <col min="6403" max="6403" width="11.5703125" style="1427" customWidth="1"/>
    <col min="6404" max="6404" width="11" style="1427" customWidth="1"/>
    <col min="6405" max="6405" width="25.42578125" style="1427" bestFit="1" customWidth="1"/>
    <col min="6406" max="6406" width="11.140625" style="1427" customWidth="1"/>
    <col min="6407" max="6407" width="13.140625" style="1427" customWidth="1"/>
    <col min="6408" max="6408" width="14.140625" style="1427" customWidth="1"/>
    <col min="6409" max="6656" width="9.140625" style="1427"/>
    <col min="6657" max="6657" width="4.7109375" style="1427" customWidth="1"/>
    <col min="6658" max="6658" width="41.7109375" style="1427" customWidth="1"/>
    <col min="6659" max="6659" width="11.5703125" style="1427" customWidth="1"/>
    <col min="6660" max="6660" width="11" style="1427" customWidth="1"/>
    <col min="6661" max="6661" width="25.42578125" style="1427" bestFit="1" customWidth="1"/>
    <col min="6662" max="6662" width="11.140625" style="1427" customWidth="1"/>
    <col min="6663" max="6663" width="13.140625" style="1427" customWidth="1"/>
    <col min="6664" max="6664" width="14.140625" style="1427" customWidth="1"/>
    <col min="6665" max="6912" width="9.140625" style="1427"/>
    <col min="6913" max="6913" width="4.7109375" style="1427" customWidth="1"/>
    <col min="6914" max="6914" width="41.7109375" style="1427" customWidth="1"/>
    <col min="6915" max="6915" width="11.5703125" style="1427" customWidth="1"/>
    <col min="6916" max="6916" width="11" style="1427" customWidth="1"/>
    <col min="6917" max="6917" width="25.42578125" style="1427" bestFit="1" customWidth="1"/>
    <col min="6918" max="6918" width="11.140625" style="1427" customWidth="1"/>
    <col min="6919" max="6919" width="13.140625" style="1427" customWidth="1"/>
    <col min="6920" max="6920" width="14.140625" style="1427" customWidth="1"/>
    <col min="6921" max="7168" width="9.140625" style="1427"/>
    <col min="7169" max="7169" width="4.7109375" style="1427" customWidth="1"/>
    <col min="7170" max="7170" width="41.7109375" style="1427" customWidth="1"/>
    <col min="7171" max="7171" width="11.5703125" style="1427" customWidth="1"/>
    <col min="7172" max="7172" width="11" style="1427" customWidth="1"/>
    <col min="7173" max="7173" width="25.42578125" style="1427" bestFit="1" customWidth="1"/>
    <col min="7174" max="7174" width="11.140625" style="1427" customWidth="1"/>
    <col min="7175" max="7175" width="13.140625" style="1427" customWidth="1"/>
    <col min="7176" max="7176" width="14.140625" style="1427" customWidth="1"/>
    <col min="7177" max="7424" width="9.140625" style="1427"/>
    <col min="7425" max="7425" width="4.7109375" style="1427" customWidth="1"/>
    <col min="7426" max="7426" width="41.7109375" style="1427" customWidth="1"/>
    <col min="7427" max="7427" width="11.5703125" style="1427" customWidth="1"/>
    <col min="7428" max="7428" width="11" style="1427" customWidth="1"/>
    <col min="7429" max="7429" width="25.42578125" style="1427" bestFit="1" customWidth="1"/>
    <col min="7430" max="7430" width="11.140625" style="1427" customWidth="1"/>
    <col min="7431" max="7431" width="13.140625" style="1427" customWidth="1"/>
    <col min="7432" max="7432" width="14.140625" style="1427" customWidth="1"/>
    <col min="7433" max="7680" width="9.140625" style="1427"/>
    <col min="7681" max="7681" width="4.7109375" style="1427" customWidth="1"/>
    <col min="7682" max="7682" width="41.7109375" style="1427" customWidth="1"/>
    <col min="7683" max="7683" width="11.5703125" style="1427" customWidth="1"/>
    <col min="7684" max="7684" width="11" style="1427" customWidth="1"/>
    <col min="7685" max="7685" width="25.42578125" style="1427" bestFit="1" customWidth="1"/>
    <col min="7686" max="7686" width="11.140625" style="1427" customWidth="1"/>
    <col min="7687" max="7687" width="13.140625" style="1427" customWidth="1"/>
    <col min="7688" max="7688" width="14.140625" style="1427" customWidth="1"/>
    <col min="7689" max="7936" width="9.140625" style="1427"/>
    <col min="7937" max="7937" width="4.7109375" style="1427" customWidth="1"/>
    <col min="7938" max="7938" width="41.7109375" style="1427" customWidth="1"/>
    <col min="7939" max="7939" width="11.5703125" style="1427" customWidth="1"/>
    <col min="7940" max="7940" width="11" style="1427" customWidth="1"/>
    <col min="7941" max="7941" width="25.42578125" style="1427" bestFit="1" customWidth="1"/>
    <col min="7942" max="7942" width="11.140625" style="1427" customWidth="1"/>
    <col min="7943" max="7943" width="13.140625" style="1427" customWidth="1"/>
    <col min="7944" max="7944" width="14.140625" style="1427" customWidth="1"/>
    <col min="7945" max="8192" width="9.140625" style="1427"/>
    <col min="8193" max="8193" width="4.7109375" style="1427" customWidth="1"/>
    <col min="8194" max="8194" width="41.7109375" style="1427" customWidth="1"/>
    <col min="8195" max="8195" width="11.5703125" style="1427" customWidth="1"/>
    <col min="8196" max="8196" width="11" style="1427" customWidth="1"/>
    <col min="8197" max="8197" width="25.42578125" style="1427" bestFit="1" customWidth="1"/>
    <col min="8198" max="8198" width="11.140625" style="1427" customWidth="1"/>
    <col min="8199" max="8199" width="13.140625" style="1427" customWidth="1"/>
    <col min="8200" max="8200" width="14.140625" style="1427" customWidth="1"/>
    <col min="8201" max="8448" width="9.140625" style="1427"/>
    <col min="8449" max="8449" width="4.7109375" style="1427" customWidth="1"/>
    <col min="8450" max="8450" width="41.7109375" style="1427" customWidth="1"/>
    <col min="8451" max="8451" width="11.5703125" style="1427" customWidth="1"/>
    <col min="8452" max="8452" width="11" style="1427" customWidth="1"/>
    <col min="8453" max="8453" width="25.42578125" style="1427" bestFit="1" customWidth="1"/>
    <col min="8454" max="8454" width="11.140625" style="1427" customWidth="1"/>
    <col min="8455" max="8455" width="13.140625" style="1427" customWidth="1"/>
    <col min="8456" max="8456" width="14.140625" style="1427" customWidth="1"/>
    <col min="8457" max="8704" width="9.140625" style="1427"/>
    <col min="8705" max="8705" width="4.7109375" style="1427" customWidth="1"/>
    <col min="8706" max="8706" width="41.7109375" style="1427" customWidth="1"/>
    <col min="8707" max="8707" width="11.5703125" style="1427" customWidth="1"/>
    <col min="8708" max="8708" width="11" style="1427" customWidth="1"/>
    <col min="8709" max="8709" width="25.42578125" style="1427" bestFit="1" customWidth="1"/>
    <col min="8710" max="8710" width="11.140625" style="1427" customWidth="1"/>
    <col min="8711" max="8711" width="13.140625" style="1427" customWidth="1"/>
    <col min="8712" max="8712" width="14.140625" style="1427" customWidth="1"/>
    <col min="8713" max="8960" width="9.140625" style="1427"/>
    <col min="8961" max="8961" width="4.7109375" style="1427" customWidth="1"/>
    <col min="8962" max="8962" width="41.7109375" style="1427" customWidth="1"/>
    <col min="8963" max="8963" width="11.5703125" style="1427" customWidth="1"/>
    <col min="8964" max="8964" width="11" style="1427" customWidth="1"/>
    <col min="8965" max="8965" width="25.42578125" style="1427" bestFit="1" customWidth="1"/>
    <col min="8966" max="8966" width="11.140625" style="1427" customWidth="1"/>
    <col min="8967" max="8967" width="13.140625" style="1427" customWidth="1"/>
    <col min="8968" max="8968" width="14.140625" style="1427" customWidth="1"/>
    <col min="8969" max="9216" width="9.140625" style="1427"/>
    <col min="9217" max="9217" width="4.7109375" style="1427" customWidth="1"/>
    <col min="9218" max="9218" width="41.7109375" style="1427" customWidth="1"/>
    <col min="9219" max="9219" width="11.5703125" style="1427" customWidth="1"/>
    <col min="9220" max="9220" width="11" style="1427" customWidth="1"/>
    <col min="9221" max="9221" width="25.42578125" style="1427" bestFit="1" customWidth="1"/>
    <col min="9222" max="9222" width="11.140625" style="1427" customWidth="1"/>
    <col min="9223" max="9223" width="13.140625" style="1427" customWidth="1"/>
    <col min="9224" max="9224" width="14.140625" style="1427" customWidth="1"/>
    <col min="9225" max="9472" width="9.140625" style="1427"/>
    <col min="9473" max="9473" width="4.7109375" style="1427" customWidth="1"/>
    <col min="9474" max="9474" width="41.7109375" style="1427" customWidth="1"/>
    <col min="9475" max="9475" width="11.5703125" style="1427" customWidth="1"/>
    <col min="9476" max="9476" width="11" style="1427" customWidth="1"/>
    <col min="9477" max="9477" width="25.42578125" style="1427" bestFit="1" customWidth="1"/>
    <col min="9478" max="9478" width="11.140625" style="1427" customWidth="1"/>
    <col min="9479" max="9479" width="13.140625" style="1427" customWidth="1"/>
    <col min="9480" max="9480" width="14.140625" style="1427" customWidth="1"/>
    <col min="9481" max="9728" width="9.140625" style="1427"/>
    <col min="9729" max="9729" width="4.7109375" style="1427" customWidth="1"/>
    <col min="9730" max="9730" width="41.7109375" style="1427" customWidth="1"/>
    <col min="9731" max="9731" width="11.5703125" style="1427" customWidth="1"/>
    <col min="9732" max="9732" width="11" style="1427" customWidth="1"/>
    <col min="9733" max="9733" width="25.42578125" style="1427" bestFit="1" customWidth="1"/>
    <col min="9734" max="9734" width="11.140625" style="1427" customWidth="1"/>
    <col min="9735" max="9735" width="13.140625" style="1427" customWidth="1"/>
    <col min="9736" max="9736" width="14.140625" style="1427" customWidth="1"/>
    <col min="9737" max="9984" width="9.140625" style="1427"/>
    <col min="9985" max="9985" width="4.7109375" style="1427" customWidth="1"/>
    <col min="9986" max="9986" width="41.7109375" style="1427" customWidth="1"/>
    <col min="9987" max="9987" width="11.5703125" style="1427" customWidth="1"/>
    <col min="9988" max="9988" width="11" style="1427" customWidth="1"/>
    <col min="9989" max="9989" width="25.42578125" style="1427" bestFit="1" customWidth="1"/>
    <col min="9990" max="9990" width="11.140625" style="1427" customWidth="1"/>
    <col min="9991" max="9991" width="13.140625" style="1427" customWidth="1"/>
    <col min="9992" max="9992" width="14.140625" style="1427" customWidth="1"/>
    <col min="9993" max="10240" width="9.140625" style="1427"/>
    <col min="10241" max="10241" width="4.7109375" style="1427" customWidth="1"/>
    <col min="10242" max="10242" width="41.7109375" style="1427" customWidth="1"/>
    <col min="10243" max="10243" width="11.5703125" style="1427" customWidth="1"/>
    <col min="10244" max="10244" width="11" style="1427" customWidth="1"/>
    <col min="10245" max="10245" width="25.42578125" style="1427" bestFit="1" customWidth="1"/>
    <col min="10246" max="10246" width="11.140625" style="1427" customWidth="1"/>
    <col min="10247" max="10247" width="13.140625" style="1427" customWidth="1"/>
    <col min="10248" max="10248" width="14.140625" style="1427" customWidth="1"/>
    <col min="10249" max="10496" width="9.140625" style="1427"/>
    <col min="10497" max="10497" width="4.7109375" style="1427" customWidth="1"/>
    <col min="10498" max="10498" width="41.7109375" style="1427" customWidth="1"/>
    <col min="10499" max="10499" width="11.5703125" style="1427" customWidth="1"/>
    <col min="10500" max="10500" width="11" style="1427" customWidth="1"/>
    <col min="10501" max="10501" width="25.42578125" style="1427" bestFit="1" customWidth="1"/>
    <col min="10502" max="10502" width="11.140625" style="1427" customWidth="1"/>
    <col min="10503" max="10503" width="13.140625" style="1427" customWidth="1"/>
    <col min="10504" max="10504" width="14.140625" style="1427" customWidth="1"/>
    <col min="10505" max="10752" width="9.140625" style="1427"/>
    <col min="10753" max="10753" width="4.7109375" style="1427" customWidth="1"/>
    <col min="10754" max="10754" width="41.7109375" style="1427" customWidth="1"/>
    <col min="10755" max="10755" width="11.5703125" style="1427" customWidth="1"/>
    <col min="10756" max="10756" width="11" style="1427" customWidth="1"/>
    <col min="10757" max="10757" width="25.42578125" style="1427" bestFit="1" customWidth="1"/>
    <col min="10758" max="10758" width="11.140625" style="1427" customWidth="1"/>
    <col min="10759" max="10759" width="13.140625" style="1427" customWidth="1"/>
    <col min="10760" max="10760" width="14.140625" style="1427" customWidth="1"/>
    <col min="10761" max="11008" width="9.140625" style="1427"/>
    <col min="11009" max="11009" width="4.7109375" style="1427" customWidth="1"/>
    <col min="11010" max="11010" width="41.7109375" style="1427" customWidth="1"/>
    <col min="11011" max="11011" width="11.5703125" style="1427" customWidth="1"/>
    <col min="11012" max="11012" width="11" style="1427" customWidth="1"/>
    <col min="11013" max="11013" width="25.42578125" style="1427" bestFit="1" customWidth="1"/>
    <col min="11014" max="11014" width="11.140625" style="1427" customWidth="1"/>
    <col min="11015" max="11015" width="13.140625" style="1427" customWidth="1"/>
    <col min="11016" max="11016" width="14.140625" style="1427" customWidth="1"/>
    <col min="11017" max="11264" width="9.140625" style="1427"/>
    <col min="11265" max="11265" width="4.7109375" style="1427" customWidth="1"/>
    <col min="11266" max="11266" width="41.7109375" style="1427" customWidth="1"/>
    <col min="11267" max="11267" width="11.5703125" style="1427" customWidth="1"/>
    <col min="11268" max="11268" width="11" style="1427" customWidth="1"/>
    <col min="11269" max="11269" width="25.42578125" style="1427" bestFit="1" customWidth="1"/>
    <col min="11270" max="11270" width="11.140625" style="1427" customWidth="1"/>
    <col min="11271" max="11271" width="13.140625" style="1427" customWidth="1"/>
    <col min="11272" max="11272" width="14.140625" style="1427" customWidth="1"/>
    <col min="11273" max="11520" width="9.140625" style="1427"/>
    <col min="11521" max="11521" width="4.7109375" style="1427" customWidth="1"/>
    <col min="11522" max="11522" width="41.7109375" style="1427" customWidth="1"/>
    <col min="11523" max="11523" width="11.5703125" style="1427" customWidth="1"/>
    <col min="11524" max="11524" width="11" style="1427" customWidth="1"/>
    <col min="11525" max="11525" width="25.42578125" style="1427" bestFit="1" customWidth="1"/>
    <col min="11526" max="11526" width="11.140625" style="1427" customWidth="1"/>
    <col min="11527" max="11527" width="13.140625" style="1427" customWidth="1"/>
    <col min="11528" max="11528" width="14.140625" style="1427" customWidth="1"/>
    <col min="11529" max="11776" width="9.140625" style="1427"/>
    <col min="11777" max="11777" width="4.7109375" style="1427" customWidth="1"/>
    <col min="11778" max="11778" width="41.7109375" style="1427" customWidth="1"/>
    <col min="11779" max="11779" width="11.5703125" style="1427" customWidth="1"/>
    <col min="11780" max="11780" width="11" style="1427" customWidth="1"/>
    <col min="11781" max="11781" width="25.42578125" style="1427" bestFit="1" customWidth="1"/>
    <col min="11782" max="11782" width="11.140625" style="1427" customWidth="1"/>
    <col min="11783" max="11783" width="13.140625" style="1427" customWidth="1"/>
    <col min="11784" max="11784" width="14.140625" style="1427" customWidth="1"/>
    <col min="11785" max="12032" width="9.140625" style="1427"/>
    <col min="12033" max="12033" width="4.7109375" style="1427" customWidth="1"/>
    <col min="12034" max="12034" width="41.7109375" style="1427" customWidth="1"/>
    <col min="12035" max="12035" width="11.5703125" style="1427" customWidth="1"/>
    <col min="12036" max="12036" width="11" style="1427" customWidth="1"/>
    <col min="12037" max="12037" width="25.42578125" style="1427" bestFit="1" customWidth="1"/>
    <col min="12038" max="12038" width="11.140625" style="1427" customWidth="1"/>
    <col min="12039" max="12039" width="13.140625" style="1427" customWidth="1"/>
    <col min="12040" max="12040" width="14.140625" style="1427" customWidth="1"/>
    <col min="12041" max="12288" width="9.140625" style="1427"/>
    <col min="12289" max="12289" width="4.7109375" style="1427" customWidth="1"/>
    <col min="12290" max="12290" width="41.7109375" style="1427" customWidth="1"/>
    <col min="12291" max="12291" width="11.5703125" style="1427" customWidth="1"/>
    <col min="12292" max="12292" width="11" style="1427" customWidth="1"/>
    <col min="12293" max="12293" width="25.42578125" style="1427" bestFit="1" customWidth="1"/>
    <col min="12294" max="12294" width="11.140625" style="1427" customWidth="1"/>
    <col min="12295" max="12295" width="13.140625" style="1427" customWidth="1"/>
    <col min="12296" max="12296" width="14.140625" style="1427" customWidth="1"/>
    <col min="12297" max="12544" width="9.140625" style="1427"/>
    <col min="12545" max="12545" width="4.7109375" style="1427" customWidth="1"/>
    <col min="12546" max="12546" width="41.7109375" style="1427" customWidth="1"/>
    <col min="12547" max="12547" width="11.5703125" style="1427" customWidth="1"/>
    <col min="12548" max="12548" width="11" style="1427" customWidth="1"/>
    <col min="12549" max="12549" width="25.42578125" style="1427" bestFit="1" customWidth="1"/>
    <col min="12550" max="12550" width="11.140625" style="1427" customWidth="1"/>
    <col min="12551" max="12551" width="13.140625" style="1427" customWidth="1"/>
    <col min="12552" max="12552" width="14.140625" style="1427" customWidth="1"/>
    <col min="12553" max="12800" width="9.140625" style="1427"/>
    <col min="12801" max="12801" width="4.7109375" style="1427" customWidth="1"/>
    <col min="12802" max="12802" width="41.7109375" style="1427" customWidth="1"/>
    <col min="12803" max="12803" width="11.5703125" style="1427" customWidth="1"/>
    <col min="12804" max="12804" width="11" style="1427" customWidth="1"/>
    <col min="12805" max="12805" width="25.42578125" style="1427" bestFit="1" customWidth="1"/>
    <col min="12806" max="12806" width="11.140625" style="1427" customWidth="1"/>
    <col min="12807" max="12807" width="13.140625" style="1427" customWidth="1"/>
    <col min="12808" max="12808" width="14.140625" style="1427" customWidth="1"/>
    <col min="12809" max="13056" width="9.140625" style="1427"/>
    <col min="13057" max="13057" width="4.7109375" style="1427" customWidth="1"/>
    <col min="13058" max="13058" width="41.7109375" style="1427" customWidth="1"/>
    <col min="13059" max="13059" width="11.5703125" style="1427" customWidth="1"/>
    <col min="13060" max="13060" width="11" style="1427" customWidth="1"/>
    <col min="13061" max="13061" width="25.42578125" style="1427" bestFit="1" customWidth="1"/>
    <col min="13062" max="13062" width="11.140625" style="1427" customWidth="1"/>
    <col min="13063" max="13063" width="13.140625" style="1427" customWidth="1"/>
    <col min="13064" max="13064" width="14.140625" style="1427" customWidth="1"/>
    <col min="13065" max="13312" width="9.140625" style="1427"/>
    <col min="13313" max="13313" width="4.7109375" style="1427" customWidth="1"/>
    <col min="13314" max="13314" width="41.7109375" style="1427" customWidth="1"/>
    <col min="13315" max="13315" width="11.5703125" style="1427" customWidth="1"/>
    <col min="13316" max="13316" width="11" style="1427" customWidth="1"/>
    <col min="13317" max="13317" width="25.42578125" style="1427" bestFit="1" customWidth="1"/>
    <col min="13318" max="13318" width="11.140625" style="1427" customWidth="1"/>
    <col min="13319" max="13319" width="13.140625" style="1427" customWidth="1"/>
    <col min="13320" max="13320" width="14.140625" style="1427" customWidth="1"/>
    <col min="13321" max="13568" width="9.140625" style="1427"/>
    <col min="13569" max="13569" width="4.7109375" style="1427" customWidth="1"/>
    <col min="13570" max="13570" width="41.7109375" style="1427" customWidth="1"/>
    <col min="13571" max="13571" width="11.5703125" style="1427" customWidth="1"/>
    <col min="13572" max="13572" width="11" style="1427" customWidth="1"/>
    <col min="13573" max="13573" width="25.42578125" style="1427" bestFit="1" customWidth="1"/>
    <col min="13574" max="13574" width="11.140625" style="1427" customWidth="1"/>
    <col min="13575" max="13575" width="13.140625" style="1427" customWidth="1"/>
    <col min="13576" max="13576" width="14.140625" style="1427" customWidth="1"/>
    <col min="13577" max="13824" width="9.140625" style="1427"/>
    <col min="13825" max="13825" width="4.7109375" style="1427" customWidth="1"/>
    <col min="13826" max="13826" width="41.7109375" style="1427" customWidth="1"/>
    <col min="13827" max="13827" width="11.5703125" style="1427" customWidth="1"/>
    <col min="13828" max="13828" width="11" style="1427" customWidth="1"/>
    <col min="13829" max="13829" width="25.42578125" style="1427" bestFit="1" customWidth="1"/>
    <col min="13830" max="13830" width="11.140625" style="1427" customWidth="1"/>
    <col min="13831" max="13831" width="13.140625" style="1427" customWidth="1"/>
    <col min="13832" max="13832" width="14.140625" style="1427" customWidth="1"/>
    <col min="13833" max="14080" width="9.140625" style="1427"/>
    <col min="14081" max="14081" width="4.7109375" style="1427" customWidth="1"/>
    <col min="14082" max="14082" width="41.7109375" style="1427" customWidth="1"/>
    <col min="14083" max="14083" width="11.5703125" style="1427" customWidth="1"/>
    <col min="14084" max="14084" width="11" style="1427" customWidth="1"/>
    <col min="14085" max="14085" width="25.42578125" style="1427" bestFit="1" customWidth="1"/>
    <col min="14086" max="14086" width="11.140625" style="1427" customWidth="1"/>
    <col min="14087" max="14087" width="13.140625" style="1427" customWidth="1"/>
    <col min="14088" max="14088" width="14.140625" style="1427" customWidth="1"/>
    <col min="14089" max="14336" width="9.140625" style="1427"/>
    <col min="14337" max="14337" width="4.7109375" style="1427" customWidth="1"/>
    <col min="14338" max="14338" width="41.7109375" style="1427" customWidth="1"/>
    <col min="14339" max="14339" width="11.5703125" style="1427" customWidth="1"/>
    <col min="14340" max="14340" width="11" style="1427" customWidth="1"/>
    <col min="14341" max="14341" width="25.42578125" style="1427" bestFit="1" customWidth="1"/>
    <col min="14342" max="14342" width="11.140625" style="1427" customWidth="1"/>
    <col min="14343" max="14343" width="13.140625" style="1427" customWidth="1"/>
    <col min="14344" max="14344" width="14.140625" style="1427" customWidth="1"/>
    <col min="14345" max="14592" width="9.140625" style="1427"/>
    <col min="14593" max="14593" width="4.7109375" style="1427" customWidth="1"/>
    <col min="14594" max="14594" width="41.7109375" style="1427" customWidth="1"/>
    <col min="14595" max="14595" width="11.5703125" style="1427" customWidth="1"/>
    <col min="14596" max="14596" width="11" style="1427" customWidth="1"/>
    <col min="14597" max="14597" width="25.42578125" style="1427" bestFit="1" customWidth="1"/>
    <col min="14598" max="14598" width="11.140625" style="1427" customWidth="1"/>
    <col min="14599" max="14599" width="13.140625" style="1427" customWidth="1"/>
    <col min="14600" max="14600" width="14.140625" style="1427" customWidth="1"/>
    <col min="14601" max="14848" width="9.140625" style="1427"/>
    <col min="14849" max="14849" width="4.7109375" style="1427" customWidth="1"/>
    <col min="14850" max="14850" width="41.7109375" style="1427" customWidth="1"/>
    <col min="14851" max="14851" width="11.5703125" style="1427" customWidth="1"/>
    <col min="14852" max="14852" width="11" style="1427" customWidth="1"/>
    <col min="14853" max="14853" width="25.42578125" style="1427" bestFit="1" customWidth="1"/>
    <col min="14854" max="14854" width="11.140625" style="1427" customWidth="1"/>
    <col min="14855" max="14855" width="13.140625" style="1427" customWidth="1"/>
    <col min="14856" max="14856" width="14.140625" style="1427" customWidth="1"/>
    <col min="14857" max="15104" width="9.140625" style="1427"/>
    <col min="15105" max="15105" width="4.7109375" style="1427" customWidth="1"/>
    <col min="15106" max="15106" width="41.7109375" style="1427" customWidth="1"/>
    <col min="15107" max="15107" width="11.5703125" style="1427" customWidth="1"/>
    <col min="15108" max="15108" width="11" style="1427" customWidth="1"/>
    <col min="15109" max="15109" width="25.42578125" style="1427" bestFit="1" customWidth="1"/>
    <col min="15110" max="15110" width="11.140625" style="1427" customWidth="1"/>
    <col min="15111" max="15111" width="13.140625" style="1427" customWidth="1"/>
    <col min="15112" max="15112" width="14.140625" style="1427" customWidth="1"/>
    <col min="15113" max="15360" width="9.140625" style="1427"/>
    <col min="15361" max="15361" width="4.7109375" style="1427" customWidth="1"/>
    <col min="15362" max="15362" width="41.7109375" style="1427" customWidth="1"/>
    <col min="15363" max="15363" width="11.5703125" style="1427" customWidth="1"/>
    <col min="15364" max="15364" width="11" style="1427" customWidth="1"/>
    <col min="15365" max="15365" width="25.42578125" style="1427" bestFit="1" customWidth="1"/>
    <col min="15366" max="15366" width="11.140625" style="1427" customWidth="1"/>
    <col min="15367" max="15367" width="13.140625" style="1427" customWidth="1"/>
    <col min="15368" max="15368" width="14.140625" style="1427" customWidth="1"/>
    <col min="15369" max="15616" width="9.140625" style="1427"/>
    <col min="15617" max="15617" width="4.7109375" style="1427" customWidth="1"/>
    <col min="15618" max="15618" width="41.7109375" style="1427" customWidth="1"/>
    <col min="15619" max="15619" width="11.5703125" style="1427" customWidth="1"/>
    <col min="15620" max="15620" width="11" style="1427" customWidth="1"/>
    <col min="15621" max="15621" width="25.42578125" style="1427" bestFit="1" customWidth="1"/>
    <col min="15622" max="15622" width="11.140625" style="1427" customWidth="1"/>
    <col min="15623" max="15623" width="13.140625" style="1427" customWidth="1"/>
    <col min="15624" max="15624" width="14.140625" style="1427" customWidth="1"/>
    <col min="15625" max="15872" width="9.140625" style="1427"/>
    <col min="15873" max="15873" width="4.7109375" style="1427" customWidth="1"/>
    <col min="15874" max="15874" width="41.7109375" style="1427" customWidth="1"/>
    <col min="15875" max="15875" width="11.5703125" style="1427" customWidth="1"/>
    <col min="15876" max="15876" width="11" style="1427" customWidth="1"/>
    <col min="15877" max="15877" width="25.42578125" style="1427" bestFit="1" customWidth="1"/>
    <col min="15878" max="15878" width="11.140625" style="1427" customWidth="1"/>
    <col min="15879" max="15879" width="13.140625" style="1427" customWidth="1"/>
    <col min="15880" max="15880" width="14.140625" style="1427" customWidth="1"/>
    <col min="15881" max="16128" width="9.140625" style="1427"/>
    <col min="16129" max="16129" width="4.7109375" style="1427" customWidth="1"/>
    <col min="16130" max="16130" width="41.7109375" style="1427" customWidth="1"/>
    <col min="16131" max="16131" width="11.5703125" style="1427" customWidth="1"/>
    <col min="16132" max="16132" width="11" style="1427" customWidth="1"/>
    <col min="16133" max="16133" width="25.42578125" style="1427" bestFit="1" customWidth="1"/>
    <col min="16134" max="16134" width="11.140625" style="1427" customWidth="1"/>
    <col min="16135" max="16135" width="13.140625" style="1427" customWidth="1"/>
    <col min="16136" max="16136" width="14.140625" style="1427" customWidth="1"/>
    <col min="16137" max="16384" width="9.140625" style="1427"/>
  </cols>
  <sheetData>
    <row r="1" spans="1:8" s="550" customFormat="1" ht="16.5" customHeight="1">
      <c r="A1" s="549"/>
      <c r="G1" s="1934" t="s">
        <v>1581</v>
      </c>
      <c r="H1" s="1934"/>
    </row>
    <row r="2" spans="1:8" s="550" customFormat="1" ht="16.5" customHeight="1">
      <c r="A2" s="549"/>
    </row>
    <row r="3" spans="1:8" s="550" customFormat="1" ht="33.75" customHeight="1">
      <c r="A3" s="1952" t="s">
        <v>1582</v>
      </c>
      <c r="B3" s="1952"/>
      <c r="C3" s="1952"/>
      <c r="D3" s="1952"/>
      <c r="E3" s="1952"/>
      <c r="F3" s="1952"/>
      <c r="G3" s="1952"/>
      <c r="H3" s="1952"/>
    </row>
    <row r="4" spans="1:8" s="550" customFormat="1" ht="16.5" customHeight="1">
      <c r="A4" s="1953" t="s">
        <v>2751</v>
      </c>
      <c r="B4" s="1953"/>
      <c r="C4" s="1953"/>
      <c r="D4" s="1953"/>
      <c r="E4" s="1953"/>
      <c r="F4" s="1953"/>
      <c r="G4" s="1953"/>
      <c r="H4" s="1953"/>
    </row>
    <row r="5" spans="1:8" ht="16.5" customHeight="1" thickBot="1">
      <c r="H5" s="1428" t="s">
        <v>458</v>
      </c>
    </row>
    <row r="6" spans="1:8" ht="84.75" customHeight="1" thickBot="1">
      <c r="A6" s="1429" t="s">
        <v>17</v>
      </c>
      <c r="B6" s="1430" t="s">
        <v>2520</v>
      </c>
      <c r="C6" s="1431" t="s">
        <v>2521</v>
      </c>
      <c r="D6" s="1432" t="s">
        <v>2787</v>
      </c>
      <c r="E6" s="1433" t="s">
        <v>2788</v>
      </c>
      <c r="F6" s="1431" t="s">
        <v>2789</v>
      </c>
      <c r="G6" s="1432" t="s">
        <v>2522</v>
      </c>
      <c r="H6" s="1434" t="s">
        <v>2790</v>
      </c>
    </row>
    <row r="7" spans="1:8" ht="16.5" customHeight="1">
      <c r="A7" s="1435" t="s">
        <v>4</v>
      </c>
      <c r="B7" s="1436" t="s">
        <v>2523</v>
      </c>
      <c r="C7" s="1437">
        <v>0</v>
      </c>
      <c r="D7" s="1438"/>
      <c r="E7" s="1439"/>
      <c r="F7" s="1440">
        <f t="shared" ref="F7:F12" si="0">+C7+D7</f>
        <v>0</v>
      </c>
      <c r="G7" s="1441">
        <v>1</v>
      </c>
      <c r="H7" s="1442"/>
    </row>
    <row r="8" spans="1:8" ht="12.75">
      <c r="A8" s="1443" t="s">
        <v>5</v>
      </c>
      <c r="B8" s="1444" t="s">
        <v>2524</v>
      </c>
      <c r="C8" s="1445">
        <v>43666</v>
      </c>
      <c r="D8" s="1446">
        <v>1744</v>
      </c>
      <c r="E8" s="1439" t="s">
        <v>2791</v>
      </c>
      <c r="F8" s="1440">
        <f t="shared" si="0"/>
        <v>45410</v>
      </c>
      <c r="G8" s="1441">
        <v>1</v>
      </c>
      <c r="H8" s="1448"/>
    </row>
    <row r="9" spans="1:8" ht="25.5">
      <c r="A9" s="1443" t="s">
        <v>6</v>
      </c>
      <c r="B9" s="1444" t="s">
        <v>2525</v>
      </c>
      <c r="C9" s="1445">
        <v>1588</v>
      </c>
      <c r="D9" s="1446">
        <v>-284</v>
      </c>
      <c r="E9" s="1447" t="s">
        <v>2792</v>
      </c>
      <c r="F9" s="1440">
        <f t="shared" si="0"/>
        <v>1304</v>
      </c>
      <c r="G9" s="1441">
        <v>1</v>
      </c>
      <c r="H9" s="1448"/>
    </row>
    <row r="10" spans="1:8" ht="16.5" customHeight="1">
      <c r="A10" s="1443" t="s">
        <v>3</v>
      </c>
      <c r="B10" s="1444" t="s">
        <v>2526</v>
      </c>
      <c r="C10" s="1445">
        <v>0</v>
      </c>
      <c r="D10" s="1446">
        <v>200</v>
      </c>
      <c r="E10" s="1439" t="s">
        <v>2791</v>
      </c>
      <c r="F10" s="1440">
        <f t="shared" si="0"/>
        <v>200</v>
      </c>
      <c r="G10" s="1441">
        <f>25%-19.74%</f>
        <v>5.2600000000000008E-2</v>
      </c>
      <c r="H10" s="1448"/>
    </row>
    <row r="11" spans="1:8" ht="12.75">
      <c r="A11" s="1443" t="s">
        <v>16</v>
      </c>
      <c r="B11" s="1444" t="s">
        <v>2527</v>
      </c>
      <c r="C11" s="1445">
        <v>1190</v>
      </c>
      <c r="D11" s="1446"/>
      <c r="E11" s="1439"/>
      <c r="F11" s="1440">
        <f t="shared" si="0"/>
        <v>1190</v>
      </c>
      <c r="G11" s="1441">
        <v>9.7000000000000003E-2</v>
      </c>
      <c r="H11" s="1448"/>
    </row>
    <row r="12" spans="1:8" ht="13.5" thickBot="1">
      <c r="A12" s="1443" t="s">
        <v>15</v>
      </c>
      <c r="B12" s="1444" t="s">
        <v>2528</v>
      </c>
      <c r="C12" s="1445">
        <v>18330</v>
      </c>
      <c r="D12" s="1446"/>
      <c r="E12" s="1439"/>
      <c r="F12" s="1440">
        <f t="shared" si="0"/>
        <v>18330</v>
      </c>
      <c r="G12" s="1441">
        <f>5.46%-0.97%</f>
        <v>4.4900000000000002E-2</v>
      </c>
      <c r="H12" s="1448"/>
    </row>
    <row r="13" spans="1:8" s="576" customFormat="1" ht="16.5" customHeight="1" thickBot="1">
      <c r="A13" s="1954" t="s">
        <v>441</v>
      </c>
      <c r="B13" s="1955"/>
      <c r="C13" s="1449">
        <f>SUM(C7:C12)</f>
        <v>64774</v>
      </c>
      <c r="D13" s="1450">
        <f>SUM(D7:D12)</f>
        <v>1660</v>
      </c>
      <c r="E13" s="1451">
        <f>SUM(E7:E12)</f>
        <v>0</v>
      </c>
      <c r="F13" s="1449">
        <f>SUM(F7:F12)</f>
        <v>66434</v>
      </c>
      <c r="G13" s="1452" t="s">
        <v>19</v>
      </c>
      <c r="H13" s="1453">
        <f>SUM(H7:H12)</f>
        <v>0</v>
      </c>
    </row>
    <row r="15" spans="1:8" ht="16.5" hidden="1" customHeight="1">
      <c r="F15" s="1427">
        <f>+'21.mell Vagyonkim2019'!G19</f>
        <v>66434</v>
      </c>
    </row>
    <row r="16" spans="1:8" ht="16.5" hidden="1" customHeight="1">
      <c r="F16" s="1427">
        <f>+F15-F13</f>
        <v>0</v>
      </c>
    </row>
  </sheetData>
  <mergeCells count="4">
    <mergeCell ref="G1:H1"/>
    <mergeCell ref="A3:H3"/>
    <mergeCell ref="A4:H4"/>
    <mergeCell ref="A13:B13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CF38"/>
  <sheetViews>
    <sheetView topLeftCell="A4" zoomScaleNormal="100" workbookViewId="0">
      <pane xSplit="2" ySplit="6" topLeftCell="C10" activePane="bottomRight" state="frozen"/>
      <selection activeCell="A6" sqref="A6"/>
      <selection pane="topRight" activeCell="A6" sqref="A6"/>
      <selection pane="bottomLeft" activeCell="A6" sqref="A6"/>
      <selection pane="bottomRight" activeCell="C10" sqref="C10"/>
    </sheetView>
  </sheetViews>
  <sheetFormatPr defaultRowHeight="21" customHeight="1"/>
  <cols>
    <col min="1" max="1" width="4.7109375" style="1427" customWidth="1"/>
    <col min="2" max="2" width="41.7109375" style="1427" customWidth="1"/>
    <col min="3" max="3" width="11.140625" style="1427" customWidth="1"/>
    <col min="4" max="9" width="10.140625" style="1427" customWidth="1"/>
    <col min="10" max="10" width="11.5703125" style="1427" customWidth="1"/>
    <col min="11" max="11" width="10.85546875" style="1427" customWidth="1"/>
    <col min="12" max="15" width="9.140625" style="1427" hidden="1" customWidth="1"/>
    <col min="16" max="16" width="11.85546875" style="1427" hidden="1" customWidth="1"/>
    <col min="17" max="17" width="10.85546875" style="1427" hidden="1" customWidth="1"/>
    <col min="18" max="18" width="9.5703125" style="1427" hidden="1" customWidth="1"/>
    <col min="19" max="20" width="9.140625" style="1427" hidden="1" customWidth="1"/>
    <col min="21" max="21" width="11.28515625" style="1427" hidden="1" customWidth="1"/>
    <col min="22" max="22" width="12.85546875" style="1427" hidden="1" customWidth="1"/>
    <col min="23" max="23" width="11.5703125" style="1427" hidden="1" customWidth="1"/>
    <col min="24" max="24" width="14.42578125" style="1427" hidden="1" customWidth="1"/>
    <col min="25" max="25" width="9.140625" style="1427" hidden="1" customWidth="1"/>
    <col min="26" max="36" width="10.140625" style="1427" hidden="1" customWidth="1"/>
    <col min="37" max="39" width="9.140625" style="1427" hidden="1" customWidth="1"/>
    <col min="40" max="40" width="11.42578125" style="1427" hidden="1" customWidth="1"/>
    <col min="41" max="46" width="9.140625" style="1427" hidden="1" customWidth="1"/>
    <col min="47" max="47" width="15" style="1427" hidden="1" customWidth="1"/>
    <col min="48" max="84" width="9.140625" style="1427" hidden="1" customWidth="1"/>
    <col min="85" max="85" width="9.140625" style="1427" customWidth="1"/>
    <col min="86" max="256" width="9.140625" style="1427"/>
    <col min="257" max="257" width="4.7109375" style="1427" customWidth="1"/>
    <col min="258" max="258" width="41.7109375" style="1427" customWidth="1"/>
    <col min="259" max="259" width="11.140625" style="1427" customWidth="1"/>
    <col min="260" max="265" width="10.140625" style="1427" customWidth="1"/>
    <col min="266" max="266" width="11.5703125" style="1427" customWidth="1"/>
    <col min="267" max="267" width="10.85546875" style="1427" customWidth="1"/>
    <col min="268" max="268" width="9.140625" style="1427" customWidth="1"/>
    <col min="269" max="328" width="0" style="1427" hidden="1" customWidth="1"/>
    <col min="329" max="329" width="9.140625" style="1427" customWidth="1"/>
    <col min="330" max="512" width="9.140625" style="1427"/>
    <col min="513" max="513" width="4.7109375" style="1427" customWidth="1"/>
    <col min="514" max="514" width="41.7109375" style="1427" customWidth="1"/>
    <col min="515" max="515" width="11.140625" style="1427" customWidth="1"/>
    <col min="516" max="521" width="10.140625" style="1427" customWidth="1"/>
    <col min="522" max="522" width="11.5703125" style="1427" customWidth="1"/>
    <col min="523" max="523" width="10.85546875" style="1427" customWidth="1"/>
    <col min="524" max="524" width="9.140625" style="1427" customWidth="1"/>
    <col min="525" max="584" width="0" style="1427" hidden="1" customWidth="1"/>
    <col min="585" max="585" width="9.140625" style="1427" customWidth="1"/>
    <col min="586" max="768" width="9.140625" style="1427"/>
    <col min="769" max="769" width="4.7109375" style="1427" customWidth="1"/>
    <col min="770" max="770" width="41.7109375" style="1427" customWidth="1"/>
    <col min="771" max="771" width="11.140625" style="1427" customWidth="1"/>
    <col min="772" max="777" width="10.140625" style="1427" customWidth="1"/>
    <col min="778" max="778" width="11.5703125" style="1427" customWidth="1"/>
    <col min="779" max="779" width="10.85546875" style="1427" customWidth="1"/>
    <col min="780" max="780" width="9.140625" style="1427" customWidth="1"/>
    <col min="781" max="840" width="0" style="1427" hidden="1" customWidth="1"/>
    <col min="841" max="841" width="9.140625" style="1427" customWidth="1"/>
    <col min="842" max="1024" width="9.140625" style="1427"/>
    <col min="1025" max="1025" width="4.7109375" style="1427" customWidth="1"/>
    <col min="1026" max="1026" width="41.7109375" style="1427" customWidth="1"/>
    <col min="1027" max="1027" width="11.140625" style="1427" customWidth="1"/>
    <col min="1028" max="1033" width="10.140625" style="1427" customWidth="1"/>
    <col min="1034" max="1034" width="11.5703125" style="1427" customWidth="1"/>
    <col min="1035" max="1035" width="10.85546875" style="1427" customWidth="1"/>
    <col min="1036" max="1036" width="9.140625" style="1427" customWidth="1"/>
    <col min="1037" max="1096" width="0" style="1427" hidden="1" customWidth="1"/>
    <col min="1097" max="1097" width="9.140625" style="1427" customWidth="1"/>
    <col min="1098" max="1280" width="9.140625" style="1427"/>
    <col min="1281" max="1281" width="4.7109375" style="1427" customWidth="1"/>
    <col min="1282" max="1282" width="41.7109375" style="1427" customWidth="1"/>
    <col min="1283" max="1283" width="11.140625" style="1427" customWidth="1"/>
    <col min="1284" max="1289" width="10.140625" style="1427" customWidth="1"/>
    <col min="1290" max="1290" width="11.5703125" style="1427" customWidth="1"/>
    <col min="1291" max="1291" width="10.85546875" style="1427" customWidth="1"/>
    <col min="1292" max="1292" width="9.140625" style="1427" customWidth="1"/>
    <col min="1293" max="1352" width="0" style="1427" hidden="1" customWidth="1"/>
    <col min="1353" max="1353" width="9.140625" style="1427" customWidth="1"/>
    <col min="1354" max="1536" width="9.140625" style="1427"/>
    <col min="1537" max="1537" width="4.7109375" style="1427" customWidth="1"/>
    <col min="1538" max="1538" width="41.7109375" style="1427" customWidth="1"/>
    <col min="1539" max="1539" width="11.140625" style="1427" customWidth="1"/>
    <col min="1540" max="1545" width="10.140625" style="1427" customWidth="1"/>
    <col min="1546" max="1546" width="11.5703125" style="1427" customWidth="1"/>
    <col min="1547" max="1547" width="10.85546875" style="1427" customWidth="1"/>
    <col min="1548" max="1548" width="9.140625" style="1427" customWidth="1"/>
    <col min="1549" max="1608" width="0" style="1427" hidden="1" customWidth="1"/>
    <col min="1609" max="1609" width="9.140625" style="1427" customWidth="1"/>
    <col min="1610" max="1792" width="9.140625" style="1427"/>
    <col min="1793" max="1793" width="4.7109375" style="1427" customWidth="1"/>
    <col min="1794" max="1794" width="41.7109375" style="1427" customWidth="1"/>
    <col min="1795" max="1795" width="11.140625" style="1427" customWidth="1"/>
    <col min="1796" max="1801" width="10.140625" style="1427" customWidth="1"/>
    <col min="1802" max="1802" width="11.5703125" style="1427" customWidth="1"/>
    <col min="1803" max="1803" width="10.85546875" style="1427" customWidth="1"/>
    <col min="1804" max="1804" width="9.140625" style="1427" customWidth="1"/>
    <col min="1805" max="1864" width="0" style="1427" hidden="1" customWidth="1"/>
    <col min="1865" max="1865" width="9.140625" style="1427" customWidth="1"/>
    <col min="1866" max="2048" width="9.140625" style="1427"/>
    <col min="2049" max="2049" width="4.7109375" style="1427" customWidth="1"/>
    <col min="2050" max="2050" width="41.7109375" style="1427" customWidth="1"/>
    <col min="2051" max="2051" width="11.140625" style="1427" customWidth="1"/>
    <col min="2052" max="2057" width="10.140625" style="1427" customWidth="1"/>
    <col min="2058" max="2058" width="11.5703125" style="1427" customWidth="1"/>
    <col min="2059" max="2059" width="10.85546875" style="1427" customWidth="1"/>
    <col min="2060" max="2060" width="9.140625" style="1427" customWidth="1"/>
    <col min="2061" max="2120" width="0" style="1427" hidden="1" customWidth="1"/>
    <col min="2121" max="2121" width="9.140625" style="1427" customWidth="1"/>
    <col min="2122" max="2304" width="9.140625" style="1427"/>
    <col min="2305" max="2305" width="4.7109375" style="1427" customWidth="1"/>
    <col min="2306" max="2306" width="41.7109375" style="1427" customWidth="1"/>
    <col min="2307" max="2307" width="11.140625" style="1427" customWidth="1"/>
    <col min="2308" max="2313" width="10.140625" style="1427" customWidth="1"/>
    <col min="2314" max="2314" width="11.5703125" style="1427" customWidth="1"/>
    <col min="2315" max="2315" width="10.85546875" style="1427" customWidth="1"/>
    <col min="2316" max="2316" width="9.140625" style="1427" customWidth="1"/>
    <col min="2317" max="2376" width="0" style="1427" hidden="1" customWidth="1"/>
    <col min="2377" max="2377" width="9.140625" style="1427" customWidth="1"/>
    <col min="2378" max="2560" width="9.140625" style="1427"/>
    <col min="2561" max="2561" width="4.7109375" style="1427" customWidth="1"/>
    <col min="2562" max="2562" width="41.7109375" style="1427" customWidth="1"/>
    <col min="2563" max="2563" width="11.140625" style="1427" customWidth="1"/>
    <col min="2564" max="2569" width="10.140625" style="1427" customWidth="1"/>
    <col min="2570" max="2570" width="11.5703125" style="1427" customWidth="1"/>
    <col min="2571" max="2571" width="10.85546875" style="1427" customWidth="1"/>
    <col min="2572" max="2572" width="9.140625" style="1427" customWidth="1"/>
    <col min="2573" max="2632" width="0" style="1427" hidden="1" customWidth="1"/>
    <col min="2633" max="2633" width="9.140625" style="1427" customWidth="1"/>
    <col min="2634" max="2816" width="9.140625" style="1427"/>
    <col min="2817" max="2817" width="4.7109375" style="1427" customWidth="1"/>
    <col min="2818" max="2818" width="41.7109375" style="1427" customWidth="1"/>
    <col min="2819" max="2819" width="11.140625" style="1427" customWidth="1"/>
    <col min="2820" max="2825" width="10.140625" style="1427" customWidth="1"/>
    <col min="2826" max="2826" width="11.5703125" style="1427" customWidth="1"/>
    <col min="2827" max="2827" width="10.85546875" style="1427" customWidth="1"/>
    <col min="2828" max="2828" width="9.140625" style="1427" customWidth="1"/>
    <col min="2829" max="2888" width="0" style="1427" hidden="1" customWidth="1"/>
    <col min="2889" max="2889" width="9.140625" style="1427" customWidth="1"/>
    <col min="2890" max="3072" width="9.140625" style="1427"/>
    <col min="3073" max="3073" width="4.7109375" style="1427" customWidth="1"/>
    <col min="3074" max="3074" width="41.7109375" style="1427" customWidth="1"/>
    <col min="3075" max="3075" width="11.140625" style="1427" customWidth="1"/>
    <col min="3076" max="3081" width="10.140625" style="1427" customWidth="1"/>
    <col min="3082" max="3082" width="11.5703125" style="1427" customWidth="1"/>
    <col min="3083" max="3083" width="10.85546875" style="1427" customWidth="1"/>
    <col min="3084" max="3084" width="9.140625" style="1427" customWidth="1"/>
    <col min="3085" max="3144" width="0" style="1427" hidden="1" customWidth="1"/>
    <col min="3145" max="3145" width="9.140625" style="1427" customWidth="1"/>
    <col min="3146" max="3328" width="9.140625" style="1427"/>
    <col min="3329" max="3329" width="4.7109375" style="1427" customWidth="1"/>
    <col min="3330" max="3330" width="41.7109375" style="1427" customWidth="1"/>
    <col min="3331" max="3331" width="11.140625" style="1427" customWidth="1"/>
    <col min="3332" max="3337" width="10.140625" style="1427" customWidth="1"/>
    <col min="3338" max="3338" width="11.5703125" style="1427" customWidth="1"/>
    <col min="3339" max="3339" width="10.85546875" style="1427" customWidth="1"/>
    <col min="3340" max="3340" width="9.140625" style="1427" customWidth="1"/>
    <col min="3341" max="3400" width="0" style="1427" hidden="1" customWidth="1"/>
    <col min="3401" max="3401" width="9.140625" style="1427" customWidth="1"/>
    <col min="3402" max="3584" width="9.140625" style="1427"/>
    <col min="3585" max="3585" width="4.7109375" style="1427" customWidth="1"/>
    <col min="3586" max="3586" width="41.7109375" style="1427" customWidth="1"/>
    <col min="3587" max="3587" width="11.140625" style="1427" customWidth="1"/>
    <col min="3588" max="3593" width="10.140625" style="1427" customWidth="1"/>
    <col min="3594" max="3594" width="11.5703125" style="1427" customWidth="1"/>
    <col min="3595" max="3595" width="10.85546875" style="1427" customWidth="1"/>
    <col min="3596" max="3596" width="9.140625" style="1427" customWidth="1"/>
    <col min="3597" max="3656" width="0" style="1427" hidden="1" customWidth="1"/>
    <col min="3657" max="3657" width="9.140625" style="1427" customWidth="1"/>
    <col min="3658" max="3840" width="9.140625" style="1427"/>
    <col min="3841" max="3841" width="4.7109375" style="1427" customWidth="1"/>
    <col min="3842" max="3842" width="41.7109375" style="1427" customWidth="1"/>
    <col min="3843" max="3843" width="11.140625" style="1427" customWidth="1"/>
    <col min="3844" max="3849" width="10.140625" style="1427" customWidth="1"/>
    <col min="3850" max="3850" width="11.5703125" style="1427" customWidth="1"/>
    <col min="3851" max="3851" width="10.85546875" style="1427" customWidth="1"/>
    <col min="3852" max="3852" width="9.140625" style="1427" customWidth="1"/>
    <col min="3853" max="3912" width="0" style="1427" hidden="1" customWidth="1"/>
    <col min="3913" max="3913" width="9.140625" style="1427" customWidth="1"/>
    <col min="3914" max="4096" width="9.140625" style="1427"/>
    <col min="4097" max="4097" width="4.7109375" style="1427" customWidth="1"/>
    <col min="4098" max="4098" width="41.7109375" style="1427" customWidth="1"/>
    <col min="4099" max="4099" width="11.140625" style="1427" customWidth="1"/>
    <col min="4100" max="4105" width="10.140625" style="1427" customWidth="1"/>
    <col min="4106" max="4106" width="11.5703125" style="1427" customWidth="1"/>
    <col min="4107" max="4107" width="10.85546875" style="1427" customWidth="1"/>
    <col min="4108" max="4108" width="9.140625" style="1427" customWidth="1"/>
    <col min="4109" max="4168" width="0" style="1427" hidden="1" customWidth="1"/>
    <col min="4169" max="4169" width="9.140625" style="1427" customWidth="1"/>
    <col min="4170" max="4352" width="9.140625" style="1427"/>
    <col min="4353" max="4353" width="4.7109375" style="1427" customWidth="1"/>
    <col min="4354" max="4354" width="41.7109375" style="1427" customWidth="1"/>
    <col min="4355" max="4355" width="11.140625" style="1427" customWidth="1"/>
    <col min="4356" max="4361" width="10.140625" style="1427" customWidth="1"/>
    <col min="4362" max="4362" width="11.5703125" style="1427" customWidth="1"/>
    <col min="4363" max="4363" width="10.85546875" style="1427" customWidth="1"/>
    <col min="4364" max="4364" width="9.140625" style="1427" customWidth="1"/>
    <col min="4365" max="4424" width="0" style="1427" hidden="1" customWidth="1"/>
    <col min="4425" max="4425" width="9.140625" style="1427" customWidth="1"/>
    <col min="4426" max="4608" width="9.140625" style="1427"/>
    <col min="4609" max="4609" width="4.7109375" style="1427" customWidth="1"/>
    <col min="4610" max="4610" width="41.7109375" style="1427" customWidth="1"/>
    <col min="4611" max="4611" width="11.140625" style="1427" customWidth="1"/>
    <col min="4612" max="4617" width="10.140625" style="1427" customWidth="1"/>
    <col min="4618" max="4618" width="11.5703125" style="1427" customWidth="1"/>
    <col min="4619" max="4619" width="10.85546875" style="1427" customWidth="1"/>
    <col min="4620" max="4620" width="9.140625" style="1427" customWidth="1"/>
    <col min="4621" max="4680" width="0" style="1427" hidden="1" customWidth="1"/>
    <col min="4681" max="4681" width="9.140625" style="1427" customWidth="1"/>
    <col min="4682" max="4864" width="9.140625" style="1427"/>
    <col min="4865" max="4865" width="4.7109375" style="1427" customWidth="1"/>
    <col min="4866" max="4866" width="41.7109375" style="1427" customWidth="1"/>
    <col min="4867" max="4867" width="11.140625" style="1427" customWidth="1"/>
    <col min="4868" max="4873" width="10.140625" style="1427" customWidth="1"/>
    <col min="4874" max="4874" width="11.5703125" style="1427" customWidth="1"/>
    <col min="4875" max="4875" width="10.85546875" style="1427" customWidth="1"/>
    <col min="4876" max="4876" width="9.140625" style="1427" customWidth="1"/>
    <col min="4877" max="4936" width="0" style="1427" hidden="1" customWidth="1"/>
    <col min="4937" max="4937" width="9.140625" style="1427" customWidth="1"/>
    <col min="4938" max="5120" width="9.140625" style="1427"/>
    <col min="5121" max="5121" width="4.7109375" style="1427" customWidth="1"/>
    <col min="5122" max="5122" width="41.7109375" style="1427" customWidth="1"/>
    <col min="5123" max="5123" width="11.140625" style="1427" customWidth="1"/>
    <col min="5124" max="5129" width="10.140625" style="1427" customWidth="1"/>
    <col min="5130" max="5130" width="11.5703125" style="1427" customWidth="1"/>
    <col min="5131" max="5131" width="10.85546875" style="1427" customWidth="1"/>
    <col min="5132" max="5132" width="9.140625" style="1427" customWidth="1"/>
    <col min="5133" max="5192" width="0" style="1427" hidden="1" customWidth="1"/>
    <col min="5193" max="5193" width="9.140625" style="1427" customWidth="1"/>
    <col min="5194" max="5376" width="9.140625" style="1427"/>
    <col min="5377" max="5377" width="4.7109375" style="1427" customWidth="1"/>
    <col min="5378" max="5378" width="41.7109375" style="1427" customWidth="1"/>
    <col min="5379" max="5379" width="11.140625" style="1427" customWidth="1"/>
    <col min="5380" max="5385" width="10.140625" style="1427" customWidth="1"/>
    <col min="5386" max="5386" width="11.5703125" style="1427" customWidth="1"/>
    <col min="5387" max="5387" width="10.85546875" style="1427" customWidth="1"/>
    <col min="5388" max="5388" width="9.140625" style="1427" customWidth="1"/>
    <col min="5389" max="5448" width="0" style="1427" hidden="1" customWidth="1"/>
    <col min="5449" max="5449" width="9.140625" style="1427" customWidth="1"/>
    <col min="5450" max="5632" width="9.140625" style="1427"/>
    <col min="5633" max="5633" width="4.7109375" style="1427" customWidth="1"/>
    <col min="5634" max="5634" width="41.7109375" style="1427" customWidth="1"/>
    <col min="5635" max="5635" width="11.140625" style="1427" customWidth="1"/>
    <col min="5636" max="5641" width="10.140625" style="1427" customWidth="1"/>
    <col min="5642" max="5642" width="11.5703125" style="1427" customWidth="1"/>
    <col min="5643" max="5643" width="10.85546875" style="1427" customWidth="1"/>
    <col min="5644" max="5644" width="9.140625" style="1427" customWidth="1"/>
    <col min="5645" max="5704" width="0" style="1427" hidden="1" customWidth="1"/>
    <col min="5705" max="5705" width="9.140625" style="1427" customWidth="1"/>
    <col min="5706" max="5888" width="9.140625" style="1427"/>
    <col min="5889" max="5889" width="4.7109375" style="1427" customWidth="1"/>
    <col min="5890" max="5890" width="41.7109375" style="1427" customWidth="1"/>
    <col min="5891" max="5891" width="11.140625" style="1427" customWidth="1"/>
    <col min="5892" max="5897" width="10.140625" style="1427" customWidth="1"/>
    <col min="5898" max="5898" width="11.5703125" style="1427" customWidth="1"/>
    <col min="5899" max="5899" width="10.85546875" style="1427" customWidth="1"/>
    <col min="5900" max="5900" width="9.140625" style="1427" customWidth="1"/>
    <col min="5901" max="5960" width="0" style="1427" hidden="1" customWidth="1"/>
    <col min="5961" max="5961" width="9.140625" style="1427" customWidth="1"/>
    <col min="5962" max="6144" width="9.140625" style="1427"/>
    <col min="6145" max="6145" width="4.7109375" style="1427" customWidth="1"/>
    <col min="6146" max="6146" width="41.7109375" style="1427" customWidth="1"/>
    <col min="6147" max="6147" width="11.140625" style="1427" customWidth="1"/>
    <col min="6148" max="6153" width="10.140625" style="1427" customWidth="1"/>
    <col min="6154" max="6154" width="11.5703125" style="1427" customWidth="1"/>
    <col min="6155" max="6155" width="10.85546875" style="1427" customWidth="1"/>
    <col min="6156" max="6156" width="9.140625" style="1427" customWidth="1"/>
    <col min="6157" max="6216" width="0" style="1427" hidden="1" customWidth="1"/>
    <col min="6217" max="6217" width="9.140625" style="1427" customWidth="1"/>
    <col min="6218" max="6400" width="9.140625" style="1427"/>
    <col min="6401" max="6401" width="4.7109375" style="1427" customWidth="1"/>
    <col min="6402" max="6402" width="41.7109375" style="1427" customWidth="1"/>
    <col min="6403" max="6403" width="11.140625" style="1427" customWidth="1"/>
    <col min="6404" max="6409" width="10.140625" style="1427" customWidth="1"/>
    <col min="6410" max="6410" width="11.5703125" style="1427" customWidth="1"/>
    <col min="6411" max="6411" width="10.85546875" style="1427" customWidth="1"/>
    <col min="6412" max="6412" width="9.140625" style="1427" customWidth="1"/>
    <col min="6413" max="6472" width="0" style="1427" hidden="1" customWidth="1"/>
    <col min="6473" max="6473" width="9.140625" style="1427" customWidth="1"/>
    <col min="6474" max="6656" width="9.140625" style="1427"/>
    <col min="6657" max="6657" width="4.7109375" style="1427" customWidth="1"/>
    <col min="6658" max="6658" width="41.7109375" style="1427" customWidth="1"/>
    <col min="6659" max="6659" width="11.140625" style="1427" customWidth="1"/>
    <col min="6660" max="6665" width="10.140625" style="1427" customWidth="1"/>
    <col min="6666" max="6666" width="11.5703125" style="1427" customWidth="1"/>
    <col min="6667" max="6667" width="10.85546875" style="1427" customWidth="1"/>
    <col min="6668" max="6668" width="9.140625" style="1427" customWidth="1"/>
    <col min="6669" max="6728" width="0" style="1427" hidden="1" customWidth="1"/>
    <col min="6729" max="6729" width="9.140625" style="1427" customWidth="1"/>
    <col min="6730" max="6912" width="9.140625" style="1427"/>
    <col min="6913" max="6913" width="4.7109375" style="1427" customWidth="1"/>
    <col min="6914" max="6914" width="41.7109375" style="1427" customWidth="1"/>
    <col min="6915" max="6915" width="11.140625" style="1427" customWidth="1"/>
    <col min="6916" max="6921" width="10.140625" style="1427" customWidth="1"/>
    <col min="6922" max="6922" width="11.5703125" style="1427" customWidth="1"/>
    <col min="6923" max="6923" width="10.85546875" style="1427" customWidth="1"/>
    <col min="6924" max="6924" width="9.140625" style="1427" customWidth="1"/>
    <col min="6925" max="6984" width="0" style="1427" hidden="1" customWidth="1"/>
    <col min="6985" max="6985" width="9.140625" style="1427" customWidth="1"/>
    <col min="6986" max="7168" width="9.140625" style="1427"/>
    <col min="7169" max="7169" width="4.7109375" style="1427" customWidth="1"/>
    <col min="7170" max="7170" width="41.7109375" style="1427" customWidth="1"/>
    <col min="7171" max="7171" width="11.140625" style="1427" customWidth="1"/>
    <col min="7172" max="7177" width="10.140625" style="1427" customWidth="1"/>
    <col min="7178" max="7178" width="11.5703125" style="1427" customWidth="1"/>
    <col min="7179" max="7179" width="10.85546875" style="1427" customWidth="1"/>
    <col min="7180" max="7180" width="9.140625" style="1427" customWidth="1"/>
    <col min="7181" max="7240" width="0" style="1427" hidden="1" customWidth="1"/>
    <col min="7241" max="7241" width="9.140625" style="1427" customWidth="1"/>
    <col min="7242" max="7424" width="9.140625" style="1427"/>
    <col min="7425" max="7425" width="4.7109375" style="1427" customWidth="1"/>
    <col min="7426" max="7426" width="41.7109375" style="1427" customWidth="1"/>
    <col min="7427" max="7427" width="11.140625" style="1427" customWidth="1"/>
    <col min="7428" max="7433" width="10.140625" style="1427" customWidth="1"/>
    <col min="7434" max="7434" width="11.5703125" style="1427" customWidth="1"/>
    <col min="7435" max="7435" width="10.85546875" style="1427" customWidth="1"/>
    <col min="7436" max="7436" width="9.140625" style="1427" customWidth="1"/>
    <col min="7437" max="7496" width="0" style="1427" hidden="1" customWidth="1"/>
    <col min="7497" max="7497" width="9.140625" style="1427" customWidth="1"/>
    <col min="7498" max="7680" width="9.140625" style="1427"/>
    <col min="7681" max="7681" width="4.7109375" style="1427" customWidth="1"/>
    <col min="7682" max="7682" width="41.7109375" style="1427" customWidth="1"/>
    <col min="7683" max="7683" width="11.140625" style="1427" customWidth="1"/>
    <col min="7684" max="7689" width="10.140625" style="1427" customWidth="1"/>
    <col min="7690" max="7690" width="11.5703125" style="1427" customWidth="1"/>
    <col min="7691" max="7691" width="10.85546875" style="1427" customWidth="1"/>
    <col min="7692" max="7692" width="9.140625" style="1427" customWidth="1"/>
    <col min="7693" max="7752" width="0" style="1427" hidden="1" customWidth="1"/>
    <col min="7753" max="7753" width="9.140625" style="1427" customWidth="1"/>
    <col min="7754" max="7936" width="9.140625" style="1427"/>
    <col min="7937" max="7937" width="4.7109375" style="1427" customWidth="1"/>
    <col min="7938" max="7938" width="41.7109375" style="1427" customWidth="1"/>
    <col min="7939" max="7939" width="11.140625" style="1427" customWidth="1"/>
    <col min="7940" max="7945" width="10.140625" style="1427" customWidth="1"/>
    <col min="7946" max="7946" width="11.5703125" style="1427" customWidth="1"/>
    <col min="7947" max="7947" width="10.85546875" style="1427" customWidth="1"/>
    <col min="7948" max="7948" width="9.140625" style="1427" customWidth="1"/>
    <col min="7949" max="8008" width="0" style="1427" hidden="1" customWidth="1"/>
    <col min="8009" max="8009" width="9.140625" style="1427" customWidth="1"/>
    <col min="8010" max="8192" width="9.140625" style="1427"/>
    <col min="8193" max="8193" width="4.7109375" style="1427" customWidth="1"/>
    <col min="8194" max="8194" width="41.7109375" style="1427" customWidth="1"/>
    <col min="8195" max="8195" width="11.140625" style="1427" customWidth="1"/>
    <col min="8196" max="8201" width="10.140625" style="1427" customWidth="1"/>
    <col min="8202" max="8202" width="11.5703125" style="1427" customWidth="1"/>
    <col min="8203" max="8203" width="10.85546875" style="1427" customWidth="1"/>
    <col min="8204" max="8204" width="9.140625" style="1427" customWidth="1"/>
    <col min="8205" max="8264" width="0" style="1427" hidden="1" customWidth="1"/>
    <col min="8265" max="8265" width="9.140625" style="1427" customWidth="1"/>
    <col min="8266" max="8448" width="9.140625" style="1427"/>
    <col min="8449" max="8449" width="4.7109375" style="1427" customWidth="1"/>
    <col min="8450" max="8450" width="41.7109375" style="1427" customWidth="1"/>
    <col min="8451" max="8451" width="11.140625" style="1427" customWidth="1"/>
    <col min="8452" max="8457" width="10.140625" style="1427" customWidth="1"/>
    <col min="8458" max="8458" width="11.5703125" style="1427" customWidth="1"/>
    <col min="8459" max="8459" width="10.85546875" style="1427" customWidth="1"/>
    <col min="8460" max="8460" width="9.140625" style="1427" customWidth="1"/>
    <col min="8461" max="8520" width="0" style="1427" hidden="1" customWidth="1"/>
    <col min="8521" max="8521" width="9.140625" style="1427" customWidth="1"/>
    <col min="8522" max="8704" width="9.140625" style="1427"/>
    <col min="8705" max="8705" width="4.7109375" style="1427" customWidth="1"/>
    <col min="8706" max="8706" width="41.7109375" style="1427" customWidth="1"/>
    <col min="8707" max="8707" width="11.140625" style="1427" customWidth="1"/>
    <col min="8708" max="8713" width="10.140625" style="1427" customWidth="1"/>
    <col min="8714" max="8714" width="11.5703125" style="1427" customWidth="1"/>
    <col min="8715" max="8715" width="10.85546875" style="1427" customWidth="1"/>
    <col min="8716" max="8716" width="9.140625" style="1427" customWidth="1"/>
    <col min="8717" max="8776" width="0" style="1427" hidden="1" customWidth="1"/>
    <col min="8777" max="8777" width="9.140625" style="1427" customWidth="1"/>
    <col min="8778" max="8960" width="9.140625" style="1427"/>
    <col min="8961" max="8961" width="4.7109375" style="1427" customWidth="1"/>
    <col min="8962" max="8962" width="41.7109375" style="1427" customWidth="1"/>
    <col min="8963" max="8963" width="11.140625" style="1427" customWidth="1"/>
    <col min="8964" max="8969" width="10.140625" style="1427" customWidth="1"/>
    <col min="8970" max="8970" width="11.5703125" style="1427" customWidth="1"/>
    <col min="8971" max="8971" width="10.85546875" style="1427" customWidth="1"/>
    <col min="8972" max="8972" width="9.140625" style="1427" customWidth="1"/>
    <col min="8973" max="9032" width="0" style="1427" hidden="1" customWidth="1"/>
    <col min="9033" max="9033" width="9.140625" style="1427" customWidth="1"/>
    <col min="9034" max="9216" width="9.140625" style="1427"/>
    <col min="9217" max="9217" width="4.7109375" style="1427" customWidth="1"/>
    <col min="9218" max="9218" width="41.7109375" style="1427" customWidth="1"/>
    <col min="9219" max="9219" width="11.140625" style="1427" customWidth="1"/>
    <col min="9220" max="9225" width="10.140625" style="1427" customWidth="1"/>
    <col min="9226" max="9226" width="11.5703125" style="1427" customWidth="1"/>
    <col min="9227" max="9227" width="10.85546875" style="1427" customWidth="1"/>
    <col min="9228" max="9228" width="9.140625" style="1427" customWidth="1"/>
    <col min="9229" max="9288" width="0" style="1427" hidden="1" customWidth="1"/>
    <col min="9289" max="9289" width="9.140625" style="1427" customWidth="1"/>
    <col min="9290" max="9472" width="9.140625" style="1427"/>
    <col min="9473" max="9473" width="4.7109375" style="1427" customWidth="1"/>
    <col min="9474" max="9474" width="41.7109375" style="1427" customWidth="1"/>
    <col min="9475" max="9475" width="11.140625" style="1427" customWidth="1"/>
    <col min="9476" max="9481" width="10.140625" style="1427" customWidth="1"/>
    <col min="9482" max="9482" width="11.5703125" style="1427" customWidth="1"/>
    <col min="9483" max="9483" width="10.85546875" style="1427" customWidth="1"/>
    <col min="9484" max="9484" width="9.140625" style="1427" customWidth="1"/>
    <col min="9485" max="9544" width="0" style="1427" hidden="1" customWidth="1"/>
    <col min="9545" max="9545" width="9.140625" style="1427" customWidth="1"/>
    <col min="9546" max="9728" width="9.140625" style="1427"/>
    <col min="9729" max="9729" width="4.7109375" style="1427" customWidth="1"/>
    <col min="9730" max="9730" width="41.7109375" style="1427" customWidth="1"/>
    <col min="9731" max="9731" width="11.140625" style="1427" customWidth="1"/>
    <col min="9732" max="9737" width="10.140625" style="1427" customWidth="1"/>
    <col min="9738" max="9738" width="11.5703125" style="1427" customWidth="1"/>
    <col min="9739" max="9739" width="10.85546875" style="1427" customWidth="1"/>
    <col min="9740" max="9740" width="9.140625" style="1427" customWidth="1"/>
    <col min="9741" max="9800" width="0" style="1427" hidden="1" customWidth="1"/>
    <col min="9801" max="9801" width="9.140625" style="1427" customWidth="1"/>
    <col min="9802" max="9984" width="9.140625" style="1427"/>
    <col min="9985" max="9985" width="4.7109375" style="1427" customWidth="1"/>
    <col min="9986" max="9986" width="41.7109375" style="1427" customWidth="1"/>
    <col min="9987" max="9987" width="11.140625" style="1427" customWidth="1"/>
    <col min="9988" max="9993" width="10.140625" style="1427" customWidth="1"/>
    <col min="9994" max="9994" width="11.5703125" style="1427" customWidth="1"/>
    <col min="9995" max="9995" width="10.85546875" style="1427" customWidth="1"/>
    <col min="9996" max="9996" width="9.140625" style="1427" customWidth="1"/>
    <col min="9997" max="10056" width="0" style="1427" hidden="1" customWidth="1"/>
    <col min="10057" max="10057" width="9.140625" style="1427" customWidth="1"/>
    <col min="10058" max="10240" width="9.140625" style="1427"/>
    <col min="10241" max="10241" width="4.7109375" style="1427" customWidth="1"/>
    <col min="10242" max="10242" width="41.7109375" style="1427" customWidth="1"/>
    <col min="10243" max="10243" width="11.140625" style="1427" customWidth="1"/>
    <col min="10244" max="10249" width="10.140625" style="1427" customWidth="1"/>
    <col min="10250" max="10250" width="11.5703125" style="1427" customWidth="1"/>
    <col min="10251" max="10251" width="10.85546875" style="1427" customWidth="1"/>
    <col min="10252" max="10252" width="9.140625" style="1427" customWidth="1"/>
    <col min="10253" max="10312" width="0" style="1427" hidden="1" customWidth="1"/>
    <col min="10313" max="10313" width="9.140625" style="1427" customWidth="1"/>
    <col min="10314" max="10496" width="9.140625" style="1427"/>
    <col min="10497" max="10497" width="4.7109375" style="1427" customWidth="1"/>
    <col min="10498" max="10498" width="41.7109375" style="1427" customWidth="1"/>
    <col min="10499" max="10499" width="11.140625" style="1427" customWidth="1"/>
    <col min="10500" max="10505" width="10.140625" style="1427" customWidth="1"/>
    <col min="10506" max="10506" width="11.5703125" style="1427" customWidth="1"/>
    <col min="10507" max="10507" width="10.85546875" style="1427" customWidth="1"/>
    <col min="10508" max="10508" width="9.140625" style="1427" customWidth="1"/>
    <col min="10509" max="10568" width="0" style="1427" hidden="1" customWidth="1"/>
    <col min="10569" max="10569" width="9.140625" style="1427" customWidth="1"/>
    <col min="10570" max="10752" width="9.140625" style="1427"/>
    <col min="10753" max="10753" width="4.7109375" style="1427" customWidth="1"/>
    <col min="10754" max="10754" width="41.7109375" style="1427" customWidth="1"/>
    <col min="10755" max="10755" width="11.140625" style="1427" customWidth="1"/>
    <col min="10756" max="10761" width="10.140625" style="1427" customWidth="1"/>
    <col min="10762" max="10762" width="11.5703125" style="1427" customWidth="1"/>
    <col min="10763" max="10763" width="10.85546875" style="1427" customWidth="1"/>
    <col min="10764" max="10764" width="9.140625" style="1427" customWidth="1"/>
    <col min="10765" max="10824" width="0" style="1427" hidden="1" customWidth="1"/>
    <col min="10825" max="10825" width="9.140625" style="1427" customWidth="1"/>
    <col min="10826" max="11008" width="9.140625" style="1427"/>
    <col min="11009" max="11009" width="4.7109375" style="1427" customWidth="1"/>
    <col min="11010" max="11010" width="41.7109375" style="1427" customWidth="1"/>
    <col min="11011" max="11011" width="11.140625" style="1427" customWidth="1"/>
    <col min="11012" max="11017" width="10.140625" style="1427" customWidth="1"/>
    <col min="11018" max="11018" width="11.5703125" style="1427" customWidth="1"/>
    <col min="11019" max="11019" width="10.85546875" style="1427" customWidth="1"/>
    <col min="11020" max="11020" width="9.140625" style="1427" customWidth="1"/>
    <col min="11021" max="11080" width="0" style="1427" hidden="1" customWidth="1"/>
    <col min="11081" max="11081" width="9.140625" style="1427" customWidth="1"/>
    <col min="11082" max="11264" width="9.140625" style="1427"/>
    <col min="11265" max="11265" width="4.7109375" style="1427" customWidth="1"/>
    <col min="11266" max="11266" width="41.7109375" style="1427" customWidth="1"/>
    <col min="11267" max="11267" width="11.140625" style="1427" customWidth="1"/>
    <col min="11268" max="11273" width="10.140625" style="1427" customWidth="1"/>
    <col min="11274" max="11274" width="11.5703125" style="1427" customWidth="1"/>
    <col min="11275" max="11275" width="10.85546875" style="1427" customWidth="1"/>
    <col min="11276" max="11276" width="9.140625" style="1427" customWidth="1"/>
    <col min="11277" max="11336" width="0" style="1427" hidden="1" customWidth="1"/>
    <col min="11337" max="11337" width="9.140625" style="1427" customWidth="1"/>
    <col min="11338" max="11520" width="9.140625" style="1427"/>
    <col min="11521" max="11521" width="4.7109375" style="1427" customWidth="1"/>
    <col min="11522" max="11522" width="41.7109375" style="1427" customWidth="1"/>
    <col min="11523" max="11523" width="11.140625" style="1427" customWidth="1"/>
    <col min="11524" max="11529" width="10.140625" style="1427" customWidth="1"/>
    <col min="11530" max="11530" width="11.5703125" style="1427" customWidth="1"/>
    <col min="11531" max="11531" width="10.85546875" style="1427" customWidth="1"/>
    <col min="11532" max="11532" width="9.140625" style="1427" customWidth="1"/>
    <col min="11533" max="11592" width="0" style="1427" hidden="1" customWidth="1"/>
    <col min="11593" max="11593" width="9.140625" style="1427" customWidth="1"/>
    <col min="11594" max="11776" width="9.140625" style="1427"/>
    <col min="11777" max="11777" width="4.7109375" style="1427" customWidth="1"/>
    <col min="11778" max="11778" width="41.7109375" style="1427" customWidth="1"/>
    <col min="11779" max="11779" width="11.140625" style="1427" customWidth="1"/>
    <col min="11780" max="11785" width="10.140625" style="1427" customWidth="1"/>
    <col min="11786" max="11786" width="11.5703125" style="1427" customWidth="1"/>
    <col min="11787" max="11787" width="10.85546875" style="1427" customWidth="1"/>
    <col min="11788" max="11788" width="9.140625" style="1427" customWidth="1"/>
    <col min="11789" max="11848" width="0" style="1427" hidden="1" customWidth="1"/>
    <col min="11849" max="11849" width="9.140625" style="1427" customWidth="1"/>
    <col min="11850" max="12032" width="9.140625" style="1427"/>
    <col min="12033" max="12033" width="4.7109375" style="1427" customWidth="1"/>
    <col min="12034" max="12034" width="41.7109375" style="1427" customWidth="1"/>
    <col min="12035" max="12035" width="11.140625" style="1427" customWidth="1"/>
    <col min="12036" max="12041" width="10.140625" style="1427" customWidth="1"/>
    <col min="12042" max="12042" width="11.5703125" style="1427" customWidth="1"/>
    <col min="12043" max="12043" width="10.85546875" style="1427" customWidth="1"/>
    <col min="12044" max="12044" width="9.140625" style="1427" customWidth="1"/>
    <col min="12045" max="12104" width="0" style="1427" hidden="1" customWidth="1"/>
    <col min="12105" max="12105" width="9.140625" style="1427" customWidth="1"/>
    <col min="12106" max="12288" width="9.140625" style="1427"/>
    <col min="12289" max="12289" width="4.7109375" style="1427" customWidth="1"/>
    <col min="12290" max="12290" width="41.7109375" style="1427" customWidth="1"/>
    <col min="12291" max="12291" width="11.140625" style="1427" customWidth="1"/>
    <col min="12292" max="12297" width="10.140625" style="1427" customWidth="1"/>
    <col min="12298" max="12298" width="11.5703125" style="1427" customWidth="1"/>
    <col min="12299" max="12299" width="10.85546875" style="1427" customWidth="1"/>
    <col min="12300" max="12300" width="9.140625" style="1427" customWidth="1"/>
    <col min="12301" max="12360" width="0" style="1427" hidden="1" customWidth="1"/>
    <col min="12361" max="12361" width="9.140625" style="1427" customWidth="1"/>
    <col min="12362" max="12544" width="9.140625" style="1427"/>
    <col min="12545" max="12545" width="4.7109375" style="1427" customWidth="1"/>
    <col min="12546" max="12546" width="41.7109375" style="1427" customWidth="1"/>
    <col min="12547" max="12547" width="11.140625" style="1427" customWidth="1"/>
    <col min="12548" max="12553" width="10.140625" style="1427" customWidth="1"/>
    <col min="12554" max="12554" width="11.5703125" style="1427" customWidth="1"/>
    <col min="12555" max="12555" width="10.85546875" style="1427" customWidth="1"/>
    <col min="12556" max="12556" width="9.140625" style="1427" customWidth="1"/>
    <col min="12557" max="12616" width="0" style="1427" hidden="1" customWidth="1"/>
    <col min="12617" max="12617" width="9.140625" style="1427" customWidth="1"/>
    <col min="12618" max="12800" width="9.140625" style="1427"/>
    <col min="12801" max="12801" width="4.7109375" style="1427" customWidth="1"/>
    <col min="12802" max="12802" width="41.7109375" style="1427" customWidth="1"/>
    <col min="12803" max="12803" width="11.140625" style="1427" customWidth="1"/>
    <col min="12804" max="12809" width="10.140625" style="1427" customWidth="1"/>
    <col min="12810" max="12810" width="11.5703125" style="1427" customWidth="1"/>
    <col min="12811" max="12811" width="10.85546875" style="1427" customWidth="1"/>
    <col min="12812" max="12812" width="9.140625" style="1427" customWidth="1"/>
    <col min="12813" max="12872" width="0" style="1427" hidden="1" customWidth="1"/>
    <col min="12873" max="12873" width="9.140625" style="1427" customWidth="1"/>
    <col min="12874" max="13056" width="9.140625" style="1427"/>
    <col min="13057" max="13057" width="4.7109375" style="1427" customWidth="1"/>
    <col min="13058" max="13058" width="41.7109375" style="1427" customWidth="1"/>
    <col min="13059" max="13059" width="11.140625" style="1427" customWidth="1"/>
    <col min="13060" max="13065" width="10.140625" style="1427" customWidth="1"/>
    <col min="13066" max="13066" width="11.5703125" style="1427" customWidth="1"/>
    <col min="13067" max="13067" width="10.85546875" style="1427" customWidth="1"/>
    <col min="13068" max="13068" width="9.140625" style="1427" customWidth="1"/>
    <col min="13069" max="13128" width="0" style="1427" hidden="1" customWidth="1"/>
    <col min="13129" max="13129" width="9.140625" style="1427" customWidth="1"/>
    <col min="13130" max="13312" width="9.140625" style="1427"/>
    <col min="13313" max="13313" width="4.7109375" style="1427" customWidth="1"/>
    <col min="13314" max="13314" width="41.7109375" style="1427" customWidth="1"/>
    <col min="13315" max="13315" width="11.140625" style="1427" customWidth="1"/>
    <col min="13316" max="13321" width="10.140625" style="1427" customWidth="1"/>
    <col min="13322" max="13322" width="11.5703125" style="1427" customWidth="1"/>
    <col min="13323" max="13323" width="10.85546875" style="1427" customWidth="1"/>
    <col min="13324" max="13324" width="9.140625" style="1427" customWidth="1"/>
    <col min="13325" max="13384" width="0" style="1427" hidden="1" customWidth="1"/>
    <col min="13385" max="13385" width="9.140625" style="1427" customWidth="1"/>
    <col min="13386" max="13568" width="9.140625" style="1427"/>
    <col min="13569" max="13569" width="4.7109375" style="1427" customWidth="1"/>
    <col min="13570" max="13570" width="41.7109375" style="1427" customWidth="1"/>
    <col min="13571" max="13571" width="11.140625" style="1427" customWidth="1"/>
    <col min="13572" max="13577" width="10.140625" style="1427" customWidth="1"/>
    <col min="13578" max="13578" width="11.5703125" style="1427" customWidth="1"/>
    <col min="13579" max="13579" width="10.85546875" style="1427" customWidth="1"/>
    <col min="13580" max="13580" width="9.140625" style="1427" customWidth="1"/>
    <col min="13581" max="13640" width="0" style="1427" hidden="1" customWidth="1"/>
    <col min="13641" max="13641" width="9.140625" style="1427" customWidth="1"/>
    <col min="13642" max="13824" width="9.140625" style="1427"/>
    <col min="13825" max="13825" width="4.7109375" style="1427" customWidth="1"/>
    <col min="13826" max="13826" width="41.7109375" style="1427" customWidth="1"/>
    <col min="13827" max="13827" width="11.140625" style="1427" customWidth="1"/>
    <col min="13828" max="13833" width="10.140625" style="1427" customWidth="1"/>
    <col min="13834" max="13834" width="11.5703125" style="1427" customWidth="1"/>
    <col min="13835" max="13835" width="10.85546875" style="1427" customWidth="1"/>
    <col min="13836" max="13836" width="9.140625" style="1427" customWidth="1"/>
    <col min="13837" max="13896" width="0" style="1427" hidden="1" customWidth="1"/>
    <col min="13897" max="13897" width="9.140625" style="1427" customWidth="1"/>
    <col min="13898" max="14080" width="9.140625" style="1427"/>
    <col min="14081" max="14081" width="4.7109375" style="1427" customWidth="1"/>
    <col min="14082" max="14082" width="41.7109375" style="1427" customWidth="1"/>
    <col min="14083" max="14083" width="11.140625" style="1427" customWidth="1"/>
    <col min="14084" max="14089" width="10.140625" style="1427" customWidth="1"/>
    <col min="14090" max="14090" width="11.5703125" style="1427" customWidth="1"/>
    <col min="14091" max="14091" width="10.85546875" style="1427" customWidth="1"/>
    <col min="14092" max="14092" width="9.140625" style="1427" customWidth="1"/>
    <col min="14093" max="14152" width="0" style="1427" hidden="1" customWidth="1"/>
    <col min="14153" max="14153" width="9.140625" style="1427" customWidth="1"/>
    <col min="14154" max="14336" width="9.140625" style="1427"/>
    <col min="14337" max="14337" width="4.7109375" style="1427" customWidth="1"/>
    <col min="14338" max="14338" width="41.7109375" style="1427" customWidth="1"/>
    <col min="14339" max="14339" width="11.140625" style="1427" customWidth="1"/>
    <col min="14340" max="14345" width="10.140625" style="1427" customWidth="1"/>
    <col min="14346" max="14346" width="11.5703125" style="1427" customWidth="1"/>
    <col min="14347" max="14347" width="10.85546875" style="1427" customWidth="1"/>
    <col min="14348" max="14348" width="9.140625" style="1427" customWidth="1"/>
    <col min="14349" max="14408" width="0" style="1427" hidden="1" customWidth="1"/>
    <col min="14409" max="14409" width="9.140625" style="1427" customWidth="1"/>
    <col min="14410" max="14592" width="9.140625" style="1427"/>
    <col min="14593" max="14593" width="4.7109375" style="1427" customWidth="1"/>
    <col min="14594" max="14594" width="41.7109375" style="1427" customWidth="1"/>
    <col min="14595" max="14595" width="11.140625" style="1427" customWidth="1"/>
    <col min="14596" max="14601" width="10.140625" style="1427" customWidth="1"/>
    <col min="14602" max="14602" width="11.5703125" style="1427" customWidth="1"/>
    <col min="14603" max="14603" width="10.85546875" style="1427" customWidth="1"/>
    <col min="14604" max="14604" width="9.140625" style="1427" customWidth="1"/>
    <col min="14605" max="14664" width="0" style="1427" hidden="1" customWidth="1"/>
    <col min="14665" max="14665" width="9.140625" style="1427" customWidth="1"/>
    <col min="14666" max="14848" width="9.140625" style="1427"/>
    <col min="14849" max="14849" width="4.7109375" style="1427" customWidth="1"/>
    <col min="14850" max="14850" width="41.7109375" style="1427" customWidth="1"/>
    <col min="14851" max="14851" width="11.140625" style="1427" customWidth="1"/>
    <col min="14852" max="14857" width="10.140625" style="1427" customWidth="1"/>
    <col min="14858" max="14858" width="11.5703125" style="1427" customWidth="1"/>
    <col min="14859" max="14859" width="10.85546875" style="1427" customWidth="1"/>
    <col min="14860" max="14860" width="9.140625" style="1427" customWidth="1"/>
    <col min="14861" max="14920" width="0" style="1427" hidden="1" customWidth="1"/>
    <col min="14921" max="14921" width="9.140625" style="1427" customWidth="1"/>
    <col min="14922" max="15104" width="9.140625" style="1427"/>
    <col min="15105" max="15105" width="4.7109375" style="1427" customWidth="1"/>
    <col min="15106" max="15106" width="41.7109375" style="1427" customWidth="1"/>
    <col min="15107" max="15107" width="11.140625" style="1427" customWidth="1"/>
    <col min="15108" max="15113" width="10.140625" style="1427" customWidth="1"/>
    <col min="15114" max="15114" width="11.5703125" style="1427" customWidth="1"/>
    <col min="15115" max="15115" width="10.85546875" style="1427" customWidth="1"/>
    <col min="15116" max="15116" width="9.140625" style="1427" customWidth="1"/>
    <col min="15117" max="15176" width="0" style="1427" hidden="1" customWidth="1"/>
    <col min="15177" max="15177" width="9.140625" style="1427" customWidth="1"/>
    <col min="15178" max="15360" width="9.140625" style="1427"/>
    <col min="15361" max="15361" width="4.7109375" style="1427" customWidth="1"/>
    <col min="15362" max="15362" width="41.7109375" style="1427" customWidth="1"/>
    <col min="15363" max="15363" width="11.140625" style="1427" customWidth="1"/>
    <col min="15364" max="15369" width="10.140625" style="1427" customWidth="1"/>
    <col min="15370" max="15370" width="11.5703125" style="1427" customWidth="1"/>
    <col min="15371" max="15371" width="10.85546875" style="1427" customWidth="1"/>
    <col min="15372" max="15372" width="9.140625" style="1427" customWidth="1"/>
    <col min="15373" max="15432" width="0" style="1427" hidden="1" customWidth="1"/>
    <col min="15433" max="15433" width="9.140625" style="1427" customWidth="1"/>
    <col min="15434" max="15616" width="9.140625" style="1427"/>
    <col min="15617" max="15617" width="4.7109375" style="1427" customWidth="1"/>
    <col min="15618" max="15618" width="41.7109375" style="1427" customWidth="1"/>
    <col min="15619" max="15619" width="11.140625" style="1427" customWidth="1"/>
    <col min="15620" max="15625" width="10.140625" style="1427" customWidth="1"/>
    <col min="15626" max="15626" width="11.5703125" style="1427" customWidth="1"/>
    <col min="15627" max="15627" width="10.85546875" style="1427" customWidth="1"/>
    <col min="15628" max="15628" width="9.140625" style="1427" customWidth="1"/>
    <col min="15629" max="15688" width="0" style="1427" hidden="1" customWidth="1"/>
    <col min="15689" max="15689" width="9.140625" style="1427" customWidth="1"/>
    <col min="15690" max="15872" width="9.140625" style="1427"/>
    <col min="15873" max="15873" width="4.7109375" style="1427" customWidth="1"/>
    <col min="15874" max="15874" width="41.7109375" style="1427" customWidth="1"/>
    <col min="15875" max="15875" width="11.140625" style="1427" customWidth="1"/>
    <col min="15876" max="15881" width="10.140625" style="1427" customWidth="1"/>
    <col min="15882" max="15882" width="11.5703125" style="1427" customWidth="1"/>
    <col min="15883" max="15883" width="10.85546875" style="1427" customWidth="1"/>
    <col min="15884" max="15884" width="9.140625" style="1427" customWidth="1"/>
    <col min="15885" max="15944" width="0" style="1427" hidden="1" customWidth="1"/>
    <col min="15945" max="15945" width="9.140625" style="1427" customWidth="1"/>
    <col min="15946" max="16128" width="9.140625" style="1427"/>
    <col min="16129" max="16129" width="4.7109375" style="1427" customWidth="1"/>
    <col min="16130" max="16130" width="41.7109375" style="1427" customWidth="1"/>
    <col min="16131" max="16131" width="11.140625" style="1427" customWidth="1"/>
    <col min="16132" max="16137" width="10.140625" style="1427" customWidth="1"/>
    <col min="16138" max="16138" width="11.5703125" style="1427" customWidth="1"/>
    <col min="16139" max="16139" width="10.85546875" style="1427" customWidth="1"/>
    <col min="16140" max="16140" width="9.140625" style="1427" customWidth="1"/>
    <col min="16141" max="16200" width="0" style="1427" hidden="1" customWidth="1"/>
    <col min="16201" max="16201" width="9.140625" style="1427" customWidth="1"/>
    <col min="16202" max="16384" width="9.140625" style="1427"/>
  </cols>
  <sheetData>
    <row r="1" spans="1:84" s="550" customFormat="1" ht="21" customHeight="1">
      <c r="A1" s="549"/>
      <c r="J1" s="1934" t="s">
        <v>1583</v>
      </c>
      <c r="K1" s="1934"/>
    </row>
    <row r="2" spans="1:84" s="550" customFormat="1" ht="21" customHeight="1">
      <c r="A2" s="549"/>
    </row>
    <row r="3" spans="1:84" s="550" customFormat="1" ht="21" customHeight="1">
      <c r="A3" s="1958" t="s">
        <v>1584</v>
      </c>
      <c r="B3" s="1958"/>
      <c r="C3" s="1958"/>
      <c r="D3" s="1958"/>
      <c r="E3" s="1958"/>
      <c r="F3" s="1958"/>
      <c r="G3" s="1958"/>
      <c r="H3" s="1958"/>
      <c r="I3" s="1958"/>
      <c r="J3" s="1958"/>
      <c r="K3" s="1958"/>
    </row>
    <row r="4" spans="1:84" s="550" customFormat="1" ht="21" customHeight="1">
      <c r="A4" s="1953" t="s">
        <v>2793</v>
      </c>
      <c r="B4" s="1953"/>
      <c r="C4" s="1953"/>
      <c r="D4" s="1953"/>
      <c r="E4" s="1953"/>
      <c r="F4" s="1953"/>
      <c r="G4" s="1953"/>
      <c r="H4" s="1953"/>
      <c r="I4" s="1953"/>
      <c r="J4" s="1953"/>
      <c r="K4" s="1953"/>
    </row>
    <row r="5" spans="1:84" ht="21" customHeight="1" thickBot="1">
      <c r="K5" s="1428" t="s">
        <v>458</v>
      </c>
      <c r="N5" s="1427" t="s">
        <v>2529</v>
      </c>
      <c r="Z5" s="1427" t="s">
        <v>2530</v>
      </c>
      <c r="AL5" s="1427" t="s">
        <v>2531</v>
      </c>
      <c r="AX5" s="1427" t="s">
        <v>827</v>
      </c>
      <c r="BJ5" s="1427" t="s">
        <v>2532</v>
      </c>
      <c r="BV5" s="1427" t="s">
        <v>2533</v>
      </c>
    </row>
    <row r="6" spans="1:84" ht="21" customHeight="1">
      <c r="A6" s="1956" t="s">
        <v>17</v>
      </c>
      <c r="B6" s="1959" t="s">
        <v>2534</v>
      </c>
      <c r="C6" s="1959" t="s">
        <v>2535</v>
      </c>
      <c r="D6" s="1961" t="s">
        <v>2536</v>
      </c>
      <c r="E6" s="1961"/>
      <c r="F6" s="1961"/>
      <c r="G6" s="1961"/>
      <c r="H6" s="1961"/>
      <c r="I6" s="1961"/>
      <c r="J6" s="1961"/>
      <c r="K6" s="1962" t="s">
        <v>2537</v>
      </c>
      <c r="N6" s="1956" t="s">
        <v>17</v>
      </c>
      <c r="O6" s="1959" t="s">
        <v>2534</v>
      </c>
      <c r="P6" s="1959" t="s">
        <v>2535</v>
      </c>
      <c r="Q6" s="1961" t="s">
        <v>2536</v>
      </c>
      <c r="R6" s="1961"/>
      <c r="S6" s="1961"/>
      <c r="T6" s="1961"/>
      <c r="U6" s="1961"/>
      <c r="V6" s="1961"/>
      <c r="W6" s="1961"/>
      <c r="X6" s="1962" t="s">
        <v>2537</v>
      </c>
      <c r="Z6" s="1956" t="s">
        <v>17</v>
      </c>
      <c r="AA6" s="1959" t="s">
        <v>2534</v>
      </c>
      <c r="AB6" s="1959" t="s">
        <v>2535</v>
      </c>
      <c r="AC6" s="1961" t="s">
        <v>2536</v>
      </c>
      <c r="AD6" s="1961"/>
      <c r="AE6" s="1961"/>
      <c r="AF6" s="1961"/>
      <c r="AG6" s="1961"/>
      <c r="AH6" s="1961"/>
      <c r="AI6" s="1961"/>
      <c r="AJ6" s="1962" t="s">
        <v>2537</v>
      </c>
      <c r="AL6" s="1956" t="s">
        <v>17</v>
      </c>
      <c r="AM6" s="1959" t="s">
        <v>2534</v>
      </c>
      <c r="AN6" s="1959" t="s">
        <v>2535</v>
      </c>
      <c r="AO6" s="1961" t="s">
        <v>2536</v>
      </c>
      <c r="AP6" s="1961"/>
      <c r="AQ6" s="1961"/>
      <c r="AR6" s="1961"/>
      <c r="AS6" s="1961"/>
      <c r="AT6" s="1961"/>
      <c r="AU6" s="1961"/>
      <c r="AV6" s="1962" t="s">
        <v>2537</v>
      </c>
      <c r="AX6" s="1956" t="s">
        <v>17</v>
      </c>
      <c r="AY6" s="1959" t="s">
        <v>2534</v>
      </c>
      <c r="AZ6" s="1959" t="s">
        <v>2535</v>
      </c>
      <c r="BA6" s="1961" t="s">
        <v>2536</v>
      </c>
      <c r="BB6" s="1961"/>
      <c r="BC6" s="1961"/>
      <c r="BD6" s="1961"/>
      <c r="BE6" s="1961"/>
      <c r="BF6" s="1961"/>
      <c r="BG6" s="1961"/>
      <c r="BH6" s="1962" t="s">
        <v>2537</v>
      </c>
      <c r="BJ6" s="1956" t="s">
        <v>17</v>
      </c>
      <c r="BK6" s="1959" t="s">
        <v>2534</v>
      </c>
      <c r="BL6" s="1959" t="s">
        <v>2535</v>
      </c>
      <c r="BM6" s="1961" t="s">
        <v>2536</v>
      </c>
      <c r="BN6" s="1961"/>
      <c r="BO6" s="1961"/>
      <c r="BP6" s="1961"/>
      <c r="BQ6" s="1961"/>
      <c r="BR6" s="1961"/>
      <c r="BS6" s="1961"/>
      <c r="BT6" s="1962" t="s">
        <v>2537</v>
      </c>
      <c r="BV6" s="1956" t="s">
        <v>17</v>
      </c>
      <c r="BW6" s="1959" t="s">
        <v>2534</v>
      </c>
      <c r="BX6" s="1959" t="s">
        <v>2535</v>
      </c>
      <c r="BY6" s="1961" t="s">
        <v>2536</v>
      </c>
      <c r="BZ6" s="1961"/>
      <c r="CA6" s="1961"/>
      <c r="CB6" s="1961"/>
      <c r="CC6" s="1961"/>
      <c r="CD6" s="1961"/>
      <c r="CE6" s="1961"/>
      <c r="CF6" s="1962" t="s">
        <v>2537</v>
      </c>
    </row>
    <row r="7" spans="1:84" s="560" customFormat="1" ht="41.25" customHeight="1" thickBot="1">
      <c r="A7" s="1957"/>
      <c r="B7" s="1960"/>
      <c r="C7" s="1960"/>
      <c r="D7" s="1454" t="s">
        <v>2538</v>
      </c>
      <c r="E7" s="1454" t="s">
        <v>2539</v>
      </c>
      <c r="F7" s="1454" t="s">
        <v>2540</v>
      </c>
      <c r="G7" s="1454" t="s">
        <v>2541</v>
      </c>
      <c r="H7" s="1454" t="s">
        <v>2542</v>
      </c>
      <c r="I7" s="1454" t="s">
        <v>2543</v>
      </c>
      <c r="J7" s="1454" t="s">
        <v>2544</v>
      </c>
      <c r="K7" s="1963"/>
      <c r="N7" s="1957"/>
      <c r="O7" s="1960"/>
      <c r="P7" s="1960"/>
      <c r="Q7" s="1454" t="s">
        <v>2538</v>
      </c>
      <c r="R7" s="1454" t="s">
        <v>2539</v>
      </c>
      <c r="S7" s="1454" t="s">
        <v>2540</v>
      </c>
      <c r="T7" s="1454" t="s">
        <v>2541</v>
      </c>
      <c r="U7" s="1454" t="s">
        <v>2542</v>
      </c>
      <c r="V7" s="1454" t="s">
        <v>2543</v>
      </c>
      <c r="W7" s="1454" t="s">
        <v>2544</v>
      </c>
      <c r="X7" s="1963"/>
      <c r="Z7" s="1957"/>
      <c r="AA7" s="1960"/>
      <c r="AB7" s="1960"/>
      <c r="AC7" s="1454" t="s">
        <v>2538</v>
      </c>
      <c r="AD7" s="1454" t="s">
        <v>2539</v>
      </c>
      <c r="AE7" s="1454" t="s">
        <v>2540</v>
      </c>
      <c r="AF7" s="1454" t="s">
        <v>2541</v>
      </c>
      <c r="AG7" s="1454" t="s">
        <v>2542</v>
      </c>
      <c r="AH7" s="1454" t="s">
        <v>2543</v>
      </c>
      <c r="AI7" s="1454" t="s">
        <v>2544</v>
      </c>
      <c r="AJ7" s="1963"/>
      <c r="AL7" s="1957"/>
      <c r="AM7" s="1960"/>
      <c r="AN7" s="1960"/>
      <c r="AO7" s="1454" t="s">
        <v>2538</v>
      </c>
      <c r="AP7" s="1454" t="s">
        <v>2539</v>
      </c>
      <c r="AQ7" s="1454" t="s">
        <v>2540</v>
      </c>
      <c r="AR7" s="1454" t="s">
        <v>2541</v>
      </c>
      <c r="AS7" s="1454" t="s">
        <v>2542</v>
      </c>
      <c r="AT7" s="1454" t="s">
        <v>2543</v>
      </c>
      <c r="AU7" s="1454" t="s">
        <v>2544</v>
      </c>
      <c r="AV7" s="1963"/>
      <c r="AX7" s="1957"/>
      <c r="AY7" s="1960"/>
      <c r="AZ7" s="1960"/>
      <c r="BA7" s="1454" t="s">
        <v>2538</v>
      </c>
      <c r="BB7" s="1454" t="s">
        <v>2539</v>
      </c>
      <c r="BC7" s="1454" t="s">
        <v>2540</v>
      </c>
      <c r="BD7" s="1454" t="s">
        <v>2541</v>
      </c>
      <c r="BE7" s="1454" t="s">
        <v>2542</v>
      </c>
      <c r="BF7" s="1454" t="s">
        <v>2543</v>
      </c>
      <c r="BG7" s="1454" t="s">
        <v>2544</v>
      </c>
      <c r="BH7" s="1963"/>
      <c r="BJ7" s="1957"/>
      <c r="BK7" s="1960"/>
      <c r="BL7" s="1960"/>
      <c r="BM7" s="1454" t="s">
        <v>2538</v>
      </c>
      <c r="BN7" s="1454" t="s">
        <v>2539</v>
      </c>
      <c r="BO7" s="1454" t="s">
        <v>2540</v>
      </c>
      <c r="BP7" s="1454" t="s">
        <v>2541</v>
      </c>
      <c r="BQ7" s="1454" t="s">
        <v>2542</v>
      </c>
      <c r="BR7" s="1454" t="s">
        <v>2543</v>
      </c>
      <c r="BS7" s="1454" t="s">
        <v>2544</v>
      </c>
      <c r="BT7" s="1963"/>
      <c r="BV7" s="1957"/>
      <c r="BW7" s="1960"/>
      <c r="BX7" s="1960"/>
      <c r="BY7" s="1454" t="s">
        <v>2538</v>
      </c>
      <c r="BZ7" s="1454" t="s">
        <v>2539</v>
      </c>
      <c r="CA7" s="1454" t="s">
        <v>2540</v>
      </c>
      <c r="CB7" s="1454" t="s">
        <v>2541</v>
      </c>
      <c r="CC7" s="1454" t="s">
        <v>2542</v>
      </c>
      <c r="CD7" s="1454" t="s">
        <v>2543</v>
      </c>
      <c r="CE7" s="1454" t="s">
        <v>2544</v>
      </c>
      <c r="CF7" s="1963"/>
    </row>
    <row r="8" spans="1:84" s="560" customFormat="1" ht="26.25" thickBot="1">
      <c r="A8" s="1429">
        <v>1</v>
      </c>
      <c r="B8" s="1455">
        <v>2</v>
      </c>
      <c r="C8" s="1455">
        <v>3</v>
      </c>
      <c r="D8" s="1455">
        <v>4</v>
      </c>
      <c r="E8" s="1455">
        <v>5</v>
      </c>
      <c r="F8" s="1455">
        <v>6</v>
      </c>
      <c r="G8" s="1455">
        <v>7</v>
      </c>
      <c r="H8" s="1455">
        <v>8</v>
      </c>
      <c r="I8" s="1455">
        <v>9</v>
      </c>
      <c r="J8" s="1455" t="s">
        <v>2545</v>
      </c>
      <c r="K8" s="1456" t="s">
        <v>2546</v>
      </c>
      <c r="N8" s="1429">
        <v>1</v>
      </c>
      <c r="O8" s="1455">
        <v>2</v>
      </c>
      <c r="P8" s="1455">
        <v>3</v>
      </c>
      <c r="Q8" s="1455">
        <v>4</v>
      </c>
      <c r="R8" s="1455">
        <v>5</v>
      </c>
      <c r="S8" s="1455">
        <v>6</v>
      </c>
      <c r="T8" s="1455">
        <v>7</v>
      </c>
      <c r="U8" s="1455">
        <v>8</v>
      </c>
      <c r="V8" s="1455">
        <v>9</v>
      </c>
      <c r="W8" s="1455" t="s">
        <v>2545</v>
      </c>
      <c r="X8" s="1456" t="s">
        <v>2546</v>
      </c>
      <c r="Z8" s="1429">
        <v>1</v>
      </c>
      <c r="AA8" s="1455">
        <v>2</v>
      </c>
      <c r="AB8" s="1455">
        <v>3</v>
      </c>
      <c r="AC8" s="1455">
        <v>4</v>
      </c>
      <c r="AD8" s="1455">
        <v>5</v>
      </c>
      <c r="AE8" s="1455">
        <v>6</v>
      </c>
      <c r="AF8" s="1455">
        <v>7</v>
      </c>
      <c r="AG8" s="1455">
        <v>8</v>
      </c>
      <c r="AH8" s="1455">
        <v>9</v>
      </c>
      <c r="AI8" s="1455" t="s">
        <v>2545</v>
      </c>
      <c r="AJ8" s="1456" t="s">
        <v>2546</v>
      </c>
      <c r="AL8" s="1429">
        <v>1</v>
      </c>
      <c r="AM8" s="1455">
        <v>2</v>
      </c>
      <c r="AN8" s="1455">
        <v>3</v>
      </c>
      <c r="AO8" s="1455">
        <v>4</v>
      </c>
      <c r="AP8" s="1455">
        <v>5</v>
      </c>
      <c r="AQ8" s="1455">
        <v>6</v>
      </c>
      <c r="AR8" s="1455">
        <v>7</v>
      </c>
      <c r="AS8" s="1455">
        <v>8</v>
      </c>
      <c r="AT8" s="1455">
        <v>9</v>
      </c>
      <c r="AU8" s="1455" t="s">
        <v>2545</v>
      </c>
      <c r="AV8" s="1456" t="s">
        <v>2546</v>
      </c>
      <c r="AX8" s="1429">
        <v>1</v>
      </c>
      <c r="AY8" s="1455">
        <v>2</v>
      </c>
      <c r="AZ8" s="1455">
        <v>3</v>
      </c>
      <c r="BA8" s="1455">
        <v>4</v>
      </c>
      <c r="BB8" s="1455">
        <v>5</v>
      </c>
      <c r="BC8" s="1455">
        <v>6</v>
      </c>
      <c r="BD8" s="1455">
        <v>7</v>
      </c>
      <c r="BE8" s="1455">
        <v>8</v>
      </c>
      <c r="BF8" s="1455">
        <v>9</v>
      </c>
      <c r="BG8" s="1455" t="s">
        <v>2545</v>
      </c>
      <c r="BH8" s="1456" t="s">
        <v>2546</v>
      </c>
      <c r="BJ8" s="1429">
        <v>1</v>
      </c>
      <c r="BK8" s="1455">
        <v>2</v>
      </c>
      <c r="BL8" s="1455">
        <v>3</v>
      </c>
      <c r="BM8" s="1455">
        <v>4</v>
      </c>
      <c r="BN8" s="1455">
        <v>5</v>
      </c>
      <c r="BO8" s="1455">
        <v>6</v>
      </c>
      <c r="BP8" s="1455">
        <v>7</v>
      </c>
      <c r="BQ8" s="1455">
        <v>8</v>
      </c>
      <c r="BR8" s="1455">
        <v>9</v>
      </c>
      <c r="BS8" s="1455" t="s">
        <v>2545</v>
      </c>
      <c r="BT8" s="1456" t="s">
        <v>2546</v>
      </c>
      <c r="BV8" s="1429">
        <v>1</v>
      </c>
      <c r="BW8" s="1455">
        <v>2</v>
      </c>
      <c r="BX8" s="1455">
        <v>3</v>
      </c>
      <c r="BY8" s="1455">
        <v>4</v>
      </c>
      <c r="BZ8" s="1455">
        <v>5</v>
      </c>
      <c r="CA8" s="1455">
        <v>6</v>
      </c>
      <c r="CB8" s="1455">
        <v>7</v>
      </c>
      <c r="CC8" s="1455">
        <v>8</v>
      </c>
      <c r="CD8" s="1455">
        <v>9</v>
      </c>
      <c r="CE8" s="1455" t="s">
        <v>2545</v>
      </c>
      <c r="CF8" s="1456" t="s">
        <v>2546</v>
      </c>
    </row>
    <row r="9" spans="1:84" s="560" customFormat="1" ht="21" customHeight="1">
      <c r="A9" s="1964" t="s">
        <v>2547</v>
      </c>
      <c r="B9" s="1965"/>
      <c r="C9" s="1965"/>
      <c r="D9" s="1965"/>
      <c r="E9" s="1965"/>
      <c r="F9" s="1965"/>
      <c r="G9" s="1965"/>
      <c r="H9" s="1965"/>
      <c r="I9" s="1965"/>
      <c r="J9" s="1965"/>
      <c r="K9" s="1966"/>
      <c r="N9" s="1964" t="s">
        <v>2547</v>
      </c>
      <c r="O9" s="1965"/>
      <c r="P9" s="1965"/>
      <c r="Q9" s="1965"/>
      <c r="R9" s="1965"/>
      <c r="S9" s="1965"/>
      <c r="T9" s="1965"/>
      <c r="U9" s="1965"/>
      <c r="V9" s="1965"/>
      <c r="W9" s="1965"/>
      <c r="X9" s="1966"/>
      <c r="Z9" s="1964" t="s">
        <v>2547</v>
      </c>
      <c r="AA9" s="1965"/>
      <c r="AB9" s="1965"/>
      <c r="AC9" s="1965"/>
      <c r="AD9" s="1965"/>
      <c r="AE9" s="1965"/>
      <c r="AF9" s="1965"/>
      <c r="AG9" s="1965"/>
      <c r="AH9" s="1965"/>
      <c r="AI9" s="1965"/>
      <c r="AJ9" s="1966"/>
      <c r="AL9" s="1964" t="s">
        <v>2547</v>
      </c>
      <c r="AM9" s="1965"/>
      <c r="AN9" s="1965"/>
      <c r="AO9" s="1965"/>
      <c r="AP9" s="1965"/>
      <c r="AQ9" s="1965"/>
      <c r="AR9" s="1965"/>
      <c r="AS9" s="1965"/>
      <c r="AT9" s="1965"/>
      <c r="AU9" s="1965"/>
      <c r="AV9" s="1966"/>
      <c r="AX9" s="1964" t="s">
        <v>2547</v>
      </c>
      <c r="AY9" s="1965"/>
      <c r="AZ9" s="1965"/>
      <c r="BA9" s="1965"/>
      <c r="BB9" s="1965"/>
      <c r="BC9" s="1965"/>
      <c r="BD9" s="1965"/>
      <c r="BE9" s="1965"/>
      <c r="BF9" s="1965"/>
      <c r="BG9" s="1965"/>
      <c r="BH9" s="1966"/>
      <c r="BJ9" s="1964" t="s">
        <v>2547</v>
      </c>
      <c r="BK9" s="1965"/>
      <c r="BL9" s="1965"/>
      <c r="BM9" s="1965"/>
      <c r="BN9" s="1965"/>
      <c r="BO9" s="1965"/>
      <c r="BP9" s="1965"/>
      <c r="BQ9" s="1965"/>
      <c r="BR9" s="1965"/>
      <c r="BS9" s="1965"/>
      <c r="BT9" s="1966"/>
      <c r="BV9" s="1964" t="s">
        <v>2547</v>
      </c>
      <c r="BW9" s="1965"/>
      <c r="BX9" s="1965"/>
      <c r="BY9" s="1965"/>
      <c r="BZ9" s="1965"/>
      <c r="CA9" s="1965"/>
      <c r="CB9" s="1965"/>
      <c r="CC9" s="1965"/>
      <c r="CD9" s="1965"/>
      <c r="CE9" s="1965"/>
      <c r="CF9" s="1966"/>
    </row>
    <row r="10" spans="1:84" ht="21" customHeight="1">
      <c r="A10" s="1435" t="s">
        <v>4</v>
      </c>
      <c r="B10" s="1457" t="s">
        <v>2548</v>
      </c>
      <c r="C10" s="1458">
        <f t="shared" ref="C10:J16" si="0">+ROUND(P10/1000,0)+ROUND(AB10/1000,0)+ROUND(AN10/1000,0)+ROUND(AZ10/1000,0)+ROUND(BL10/1000,0)+ROUND(BX10/1000,0)</f>
        <v>3157</v>
      </c>
      <c r="D10" s="1459">
        <f t="shared" si="0"/>
        <v>24</v>
      </c>
      <c r="E10" s="1459">
        <f t="shared" si="0"/>
        <v>0</v>
      </c>
      <c r="F10" s="1459">
        <f t="shared" si="0"/>
        <v>0</v>
      </c>
      <c r="G10" s="1459">
        <f t="shared" si="0"/>
        <v>0</v>
      </c>
      <c r="H10" s="1459">
        <f t="shared" si="0"/>
        <v>0</v>
      </c>
      <c r="I10" s="1459">
        <f t="shared" si="0"/>
        <v>0</v>
      </c>
      <c r="J10" s="1458">
        <f t="shared" si="0"/>
        <v>24</v>
      </c>
      <c r="K10" s="1460">
        <f>+C10+J10</f>
        <v>3181</v>
      </c>
      <c r="N10" s="1435" t="s">
        <v>4</v>
      </c>
      <c r="O10" s="1457" t="s">
        <v>2548</v>
      </c>
      <c r="P10" s="1458">
        <v>570000</v>
      </c>
      <c r="Q10" s="1459"/>
      <c r="R10" s="1459"/>
      <c r="S10" s="1459"/>
      <c r="T10" s="1459"/>
      <c r="U10" s="1459"/>
      <c r="V10" s="1459"/>
      <c r="W10" s="1458">
        <f t="shared" ref="W10:W16" si="1">SUM(Q10:V10)</f>
        <v>0</v>
      </c>
      <c r="X10" s="1460">
        <f>+P10+W10</f>
        <v>570000</v>
      </c>
      <c r="Z10" s="1435" t="s">
        <v>4</v>
      </c>
      <c r="AA10" s="1457" t="s">
        <v>2548</v>
      </c>
      <c r="AB10" s="1458">
        <v>336000</v>
      </c>
      <c r="AC10" s="1459">
        <v>23628</v>
      </c>
      <c r="AD10" s="1459"/>
      <c r="AE10" s="1459"/>
      <c r="AF10" s="1459"/>
      <c r="AG10" s="1459"/>
      <c r="AH10" s="1459"/>
      <c r="AI10" s="1458">
        <f t="shared" ref="AI10:AI16" si="2">SUM(AC10:AH10)</f>
        <v>23628</v>
      </c>
      <c r="AJ10" s="1460">
        <f>+AB10+AI10</f>
        <v>359628</v>
      </c>
      <c r="AL10" s="1435" t="s">
        <v>4</v>
      </c>
      <c r="AM10" s="1457" t="s">
        <v>2548</v>
      </c>
      <c r="AN10" s="1458">
        <v>2218000</v>
      </c>
      <c r="AO10" s="1459"/>
      <c r="AP10" s="1459"/>
      <c r="AQ10" s="1459"/>
      <c r="AR10" s="1459"/>
      <c r="AS10" s="1459"/>
      <c r="AT10" s="1459"/>
      <c r="AU10" s="1458">
        <f t="shared" ref="AU10:AU16" si="3">SUM(AO10:AT10)</f>
        <v>0</v>
      </c>
      <c r="AV10" s="1460">
        <f>+AN10+AU10</f>
        <v>2218000</v>
      </c>
      <c r="AX10" s="1435" t="s">
        <v>4</v>
      </c>
      <c r="AY10" s="1457" t="s">
        <v>2548</v>
      </c>
      <c r="AZ10" s="1458"/>
      <c r="BA10" s="1459"/>
      <c r="BB10" s="1459"/>
      <c r="BC10" s="1459"/>
      <c r="BD10" s="1459"/>
      <c r="BE10" s="1459"/>
      <c r="BF10" s="1459"/>
      <c r="BG10" s="1458">
        <f t="shared" ref="BG10:BG16" si="4">SUM(BA10:BF10)</f>
        <v>0</v>
      </c>
      <c r="BH10" s="1460">
        <f>+AZ10+BG10</f>
        <v>0</v>
      </c>
      <c r="BJ10" s="1435" t="s">
        <v>4</v>
      </c>
      <c r="BK10" s="1457" t="s">
        <v>2548</v>
      </c>
      <c r="BL10" s="1458"/>
      <c r="BM10" s="1459"/>
      <c r="BN10" s="1459"/>
      <c r="BO10" s="1459"/>
      <c r="BP10" s="1459"/>
      <c r="BQ10" s="1459"/>
      <c r="BR10" s="1459"/>
      <c r="BS10" s="1458">
        <f t="shared" ref="BS10:BS16" si="5">SUM(BM10:BR10)</f>
        <v>0</v>
      </c>
      <c r="BT10" s="1460">
        <f>+BL10+BS10</f>
        <v>0</v>
      </c>
      <c r="BV10" s="1435" t="s">
        <v>4</v>
      </c>
      <c r="BW10" s="1457" t="s">
        <v>2548</v>
      </c>
      <c r="BX10" s="1458">
        <v>33000</v>
      </c>
      <c r="BY10" s="1459"/>
      <c r="BZ10" s="1459"/>
      <c r="CA10" s="1459"/>
      <c r="CB10" s="1459"/>
      <c r="CC10" s="1459"/>
      <c r="CD10" s="1459"/>
      <c r="CE10" s="1458">
        <f t="shared" ref="CE10:CE16" si="6">SUM(BY10:CD10)</f>
        <v>0</v>
      </c>
      <c r="CF10" s="1460">
        <f>+BX10+CE10</f>
        <v>33000</v>
      </c>
    </row>
    <row r="11" spans="1:84" ht="21" customHeight="1">
      <c r="A11" s="1443" t="s">
        <v>5</v>
      </c>
      <c r="B11" s="1461" t="s">
        <v>802</v>
      </c>
      <c r="C11" s="1462">
        <f t="shared" si="0"/>
        <v>2677</v>
      </c>
      <c r="D11" s="1463">
        <f t="shared" si="0"/>
        <v>0</v>
      </c>
      <c r="E11" s="1463">
        <f t="shared" si="0"/>
        <v>0</v>
      </c>
      <c r="F11" s="1463">
        <f t="shared" si="0"/>
        <v>0</v>
      </c>
      <c r="G11" s="1463">
        <f t="shared" si="0"/>
        <v>0</v>
      </c>
      <c r="H11" s="1463">
        <f t="shared" si="0"/>
        <v>2583</v>
      </c>
      <c r="I11" s="1463">
        <f t="shared" si="0"/>
        <v>0</v>
      </c>
      <c r="J11" s="1458">
        <f t="shared" si="0"/>
        <v>2583</v>
      </c>
      <c r="K11" s="1464">
        <f t="shared" ref="K11:K16" si="7">+C11+J11</f>
        <v>5260</v>
      </c>
      <c r="N11" s="1443" t="s">
        <v>5</v>
      </c>
      <c r="O11" s="1461" t="s">
        <v>802</v>
      </c>
      <c r="P11" s="1462">
        <v>2677419</v>
      </c>
      <c r="Q11" s="1463"/>
      <c r="R11" s="1463"/>
      <c r="S11" s="1463"/>
      <c r="T11" s="1463"/>
      <c r="U11" s="1463">
        <v>2582846</v>
      </c>
      <c r="V11" s="1463"/>
      <c r="W11" s="1458">
        <f t="shared" si="1"/>
        <v>2582846</v>
      </c>
      <c r="X11" s="1464">
        <f t="shared" ref="X11:X16" si="8">+P11+W11</f>
        <v>5260265</v>
      </c>
      <c r="Z11" s="1443" t="s">
        <v>5</v>
      </c>
      <c r="AA11" s="1461" t="s">
        <v>802</v>
      </c>
      <c r="AB11" s="1462"/>
      <c r="AC11" s="1463"/>
      <c r="AD11" s="1463"/>
      <c r="AE11" s="1463"/>
      <c r="AF11" s="1463"/>
      <c r="AG11" s="1463"/>
      <c r="AH11" s="1463"/>
      <c r="AI11" s="1458">
        <f t="shared" si="2"/>
        <v>0</v>
      </c>
      <c r="AJ11" s="1464">
        <f t="shared" ref="AJ11:AJ16" si="9">+AB11+AI11</f>
        <v>0</v>
      </c>
      <c r="AL11" s="1443" t="s">
        <v>5</v>
      </c>
      <c r="AM11" s="1461" t="s">
        <v>802</v>
      </c>
      <c r="AN11" s="1462"/>
      <c r="AO11" s="1463"/>
      <c r="AP11" s="1463"/>
      <c r="AQ11" s="1463"/>
      <c r="AR11" s="1463"/>
      <c r="AS11" s="1463"/>
      <c r="AT11" s="1463"/>
      <c r="AU11" s="1458">
        <f t="shared" si="3"/>
        <v>0</v>
      </c>
      <c r="AV11" s="1464">
        <f t="shared" ref="AV11:AV16" si="10">+AN11+AU11</f>
        <v>0</v>
      </c>
      <c r="AX11" s="1443" t="s">
        <v>5</v>
      </c>
      <c r="AY11" s="1461" t="s">
        <v>802</v>
      </c>
      <c r="AZ11" s="1462"/>
      <c r="BA11" s="1463"/>
      <c r="BB11" s="1463"/>
      <c r="BC11" s="1463"/>
      <c r="BD11" s="1463"/>
      <c r="BE11" s="1463"/>
      <c r="BF11" s="1463"/>
      <c r="BG11" s="1458">
        <f t="shared" si="4"/>
        <v>0</v>
      </c>
      <c r="BH11" s="1464">
        <f t="shared" ref="BH11:BH16" si="11">+AZ11+BG11</f>
        <v>0</v>
      </c>
      <c r="BJ11" s="1443" t="s">
        <v>5</v>
      </c>
      <c r="BK11" s="1461" t="s">
        <v>802</v>
      </c>
      <c r="BL11" s="1462"/>
      <c r="BM11" s="1463"/>
      <c r="BN11" s="1463"/>
      <c r="BO11" s="1463"/>
      <c r="BP11" s="1463"/>
      <c r="BQ11" s="1463"/>
      <c r="BR11" s="1463"/>
      <c r="BS11" s="1458">
        <f t="shared" si="5"/>
        <v>0</v>
      </c>
      <c r="BT11" s="1464">
        <f t="shared" ref="BT11:BT16" si="12">+BL11+BS11</f>
        <v>0</v>
      </c>
      <c r="BV11" s="1443" t="s">
        <v>5</v>
      </c>
      <c r="BW11" s="1461" t="s">
        <v>802</v>
      </c>
      <c r="BX11" s="1462"/>
      <c r="BY11" s="1463"/>
      <c r="BZ11" s="1463"/>
      <c r="CA11" s="1463"/>
      <c r="CB11" s="1463"/>
      <c r="CC11" s="1463"/>
      <c r="CD11" s="1463"/>
      <c r="CE11" s="1458">
        <f t="shared" si="6"/>
        <v>0</v>
      </c>
      <c r="CF11" s="1464">
        <f t="shared" ref="CF11:CF16" si="13">+BX11+CE11</f>
        <v>0</v>
      </c>
    </row>
    <row r="12" spans="1:84" ht="21" customHeight="1">
      <c r="A12" s="1443" t="s">
        <v>6</v>
      </c>
      <c r="B12" s="1461" t="s">
        <v>803</v>
      </c>
      <c r="C12" s="1462">
        <f t="shared" si="0"/>
        <v>0</v>
      </c>
      <c r="D12" s="1463">
        <f t="shared" si="0"/>
        <v>0</v>
      </c>
      <c r="E12" s="1463">
        <f t="shared" si="0"/>
        <v>0</v>
      </c>
      <c r="F12" s="1463">
        <f t="shared" si="0"/>
        <v>0</v>
      </c>
      <c r="G12" s="1463">
        <f t="shared" si="0"/>
        <v>0</v>
      </c>
      <c r="H12" s="1463">
        <f t="shared" si="0"/>
        <v>0</v>
      </c>
      <c r="I12" s="1463">
        <f t="shared" si="0"/>
        <v>0</v>
      </c>
      <c r="J12" s="1458">
        <f t="shared" si="0"/>
        <v>0</v>
      </c>
      <c r="K12" s="1464">
        <f t="shared" si="7"/>
        <v>0</v>
      </c>
      <c r="N12" s="1443" t="s">
        <v>6</v>
      </c>
      <c r="O12" s="1461" t="s">
        <v>803</v>
      </c>
      <c r="P12" s="1462"/>
      <c r="Q12" s="1463"/>
      <c r="R12" s="1463"/>
      <c r="S12" s="1463"/>
      <c r="T12" s="1463"/>
      <c r="U12" s="1463"/>
      <c r="V12" s="1463"/>
      <c r="W12" s="1458">
        <f t="shared" si="1"/>
        <v>0</v>
      </c>
      <c r="X12" s="1464">
        <f t="shared" si="8"/>
        <v>0</v>
      </c>
      <c r="Z12" s="1443" t="s">
        <v>6</v>
      </c>
      <c r="AA12" s="1461" t="s">
        <v>803</v>
      </c>
      <c r="AB12" s="1462"/>
      <c r="AC12" s="1463"/>
      <c r="AD12" s="1463"/>
      <c r="AE12" s="1463"/>
      <c r="AF12" s="1463"/>
      <c r="AG12" s="1463"/>
      <c r="AH12" s="1463"/>
      <c r="AI12" s="1458">
        <f t="shared" si="2"/>
        <v>0</v>
      </c>
      <c r="AJ12" s="1464">
        <f t="shared" si="9"/>
        <v>0</v>
      </c>
      <c r="AL12" s="1443" t="s">
        <v>6</v>
      </c>
      <c r="AM12" s="1461" t="s">
        <v>803</v>
      </c>
      <c r="AN12" s="1462"/>
      <c r="AO12" s="1463"/>
      <c r="AP12" s="1463"/>
      <c r="AQ12" s="1463"/>
      <c r="AR12" s="1463"/>
      <c r="AS12" s="1463"/>
      <c r="AT12" s="1463"/>
      <c r="AU12" s="1458">
        <f t="shared" si="3"/>
        <v>0</v>
      </c>
      <c r="AV12" s="1464">
        <f t="shared" si="10"/>
        <v>0</v>
      </c>
      <c r="AX12" s="1443" t="s">
        <v>6</v>
      </c>
      <c r="AY12" s="1461" t="s">
        <v>803</v>
      </c>
      <c r="AZ12" s="1462"/>
      <c r="BA12" s="1463"/>
      <c r="BB12" s="1463"/>
      <c r="BC12" s="1463"/>
      <c r="BD12" s="1463"/>
      <c r="BE12" s="1463"/>
      <c r="BF12" s="1463"/>
      <c r="BG12" s="1458">
        <f t="shared" si="4"/>
        <v>0</v>
      </c>
      <c r="BH12" s="1464">
        <f t="shared" si="11"/>
        <v>0</v>
      </c>
      <c r="BJ12" s="1443" t="s">
        <v>6</v>
      </c>
      <c r="BK12" s="1461" t="s">
        <v>803</v>
      </c>
      <c r="BL12" s="1462"/>
      <c r="BM12" s="1463"/>
      <c r="BN12" s="1463"/>
      <c r="BO12" s="1463"/>
      <c r="BP12" s="1463"/>
      <c r="BQ12" s="1463"/>
      <c r="BR12" s="1463"/>
      <c r="BS12" s="1458">
        <f t="shared" si="5"/>
        <v>0</v>
      </c>
      <c r="BT12" s="1464">
        <f t="shared" si="12"/>
        <v>0</v>
      </c>
      <c r="BV12" s="1443" t="s">
        <v>6</v>
      </c>
      <c r="BW12" s="1461" t="s">
        <v>803</v>
      </c>
      <c r="BX12" s="1462"/>
      <c r="BY12" s="1463"/>
      <c r="BZ12" s="1463"/>
      <c r="CA12" s="1463"/>
      <c r="CB12" s="1463"/>
      <c r="CC12" s="1463"/>
      <c r="CD12" s="1463"/>
      <c r="CE12" s="1458">
        <f t="shared" si="6"/>
        <v>0</v>
      </c>
      <c r="CF12" s="1464">
        <f t="shared" si="13"/>
        <v>0</v>
      </c>
    </row>
    <row r="13" spans="1:84" ht="21" customHeight="1">
      <c r="A13" s="1443" t="s">
        <v>3</v>
      </c>
      <c r="B13" s="1461" t="s">
        <v>804</v>
      </c>
      <c r="C13" s="1462">
        <f t="shared" si="0"/>
        <v>0</v>
      </c>
      <c r="D13" s="1463">
        <f t="shared" si="0"/>
        <v>0</v>
      </c>
      <c r="E13" s="1463">
        <f t="shared" si="0"/>
        <v>0</v>
      </c>
      <c r="F13" s="1463">
        <f t="shared" si="0"/>
        <v>0</v>
      </c>
      <c r="G13" s="1463">
        <f t="shared" si="0"/>
        <v>0</v>
      </c>
      <c r="H13" s="1463">
        <f t="shared" si="0"/>
        <v>0</v>
      </c>
      <c r="I13" s="1463">
        <f t="shared" si="0"/>
        <v>0</v>
      </c>
      <c r="J13" s="1458">
        <f t="shared" si="0"/>
        <v>0</v>
      </c>
      <c r="K13" s="1464">
        <f t="shared" si="7"/>
        <v>0</v>
      </c>
      <c r="N13" s="1443" t="s">
        <v>3</v>
      </c>
      <c r="O13" s="1461" t="s">
        <v>804</v>
      </c>
      <c r="P13" s="1462"/>
      <c r="Q13" s="1463"/>
      <c r="R13" s="1463"/>
      <c r="S13" s="1463"/>
      <c r="T13" s="1463"/>
      <c r="U13" s="1463"/>
      <c r="V13" s="1463"/>
      <c r="W13" s="1458">
        <f t="shared" si="1"/>
        <v>0</v>
      </c>
      <c r="X13" s="1464">
        <f t="shared" si="8"/>
        <v>0</v>
      </c>
      <c r="Z13" s="1443" t="s">
        <v>3</v>
      </c>
      <c r="AA13" s="1461" t="s">
        <v>804</v>
      </c>
      <c r="AB13" s="1462"/>
      <c r="AC13" s="1463"/>
      <c r="AD13" s="1463"/>
      <c r="AE13" s="1463"/>
      <c r="AF13" s="1463"/>
      <c r="AG13" s="1463"/>
      <c r="AH13" s="1463"/>
      <c r="AI13" s="1458">
        <f t="shared" si="2"/>
        <v>0</v>
      </c>
      <c r="AJ13" s="1464">
        <f t="shared" si="9"/>
        <v>0</v>
      </c>
      <c r="AL13" s="1443" t="s">
        <v>3</v>
      </c>
      <c r="AM13" s="1461" t="s">
        <v>804</v>
      </c>
      <c r="AN13" s="1462"/>
      <c r="AO13" s="1463"/>
      <c r="AP13" s="1463"/>
      <c r="AQ13" s="1463"/>
      <c r="AR13" s="1463"/>
      <c r="AS13" s="1463"/>
      <c r="AT13" s="1463"/>
      <c r="AU13" s="1458">
        <f t="shared" si="3"/>
        <v>0</v>
      </c>
      <c r="AV13" s="1464">
        <f t="shared" si="10"/>
        <v>0</v>
      </c>
      <c r="AX13" s="1443" t="s">
        <v>3</v>
      </c>
      <c r="AY13" s="1461" t="s">
        <v>804</v>
      </c>
      <c r="AZ13" s="1462"/>
      <c r="BA13" s="1463"/>
      <c r="BB13" s="1463"/>
      <c r="BC13" s="1463"/>
      <c r="BD13" s="1463"/>
      <c r="BE13" s="1463"/>
      <c r="BF13" s="1463"/>
      <c r="BG13" s="1458">
        <f t="shared" si="4"/>
        <v>0</v>
      </c>
      <c r="BH13" s="1464">
        <f t="shared" si="11"/>
        <v>0</v>
      </c>
      <c r="BJ13" s="1443" t="s">
        <v>3</v>
      </c>
      <c r="BK13" s="1461" t="s">
        <v>804</v>
      </c>
      <c r="BL13" s="1462"/>
      <c r="BM13" s="1463"/>
      <c r="BN13" s="1463"/>
      <c r="BO13" s="1463"/>
      <c r="BP13" s="1463"/>
      <c r="BQ13" s="1463"/>
      <c r="BR13" s="1463"/>
      <c r="BS13" s="1458">
        <f t="shared" si="5"/>
        <v>0</v>
      </c>
      <c r="BT13" s="1464">
        <f t="shared" si="12"/>
        <v>0</v>
      </c>
      <c r="BV13" s="1443" t="s">
        <v>3</v>
      </c>
      <c r="BW13" s="1461" t="s">
        <v>804</v>
      </c>
      <c r="BX13" s="1462"/>
      <c r="BY13" s="1463"/>
      <c r="BZ13" s="1463"/>
      <c r="CA13" s="1463"/>
      <c r="CB13" s="1463"/>
      <c r="CC13" s="1463"/>
      <c r="CD13" s="1463"/>
      <c r="CE13" s="1458">
        <f t="shared" si="6"/>
        <v>0</v>
      </c>
      <c r="CF13" s="1464">
        <f t="shared" si="13"/>
        <v>0</v>
      </c>
    </row>
    <row r="14" spans="1:84" ht="24.75" customHeight="1">
      <c r="A14" s="1443" t="s">
        <v>16</v>
      </c>
      <c r="B14" s="1461" t="s">
        <v>805</v>
      </c>
      <c r="C14" s="1462">
        <f t="shared" si="0"/>
        <v>0</v>
      </c>
      <c r="D14" s="1463">
        <f t="shared" si="0"/>
        <v>0</v>
      </c>
      <c r="E14" s="1463">
        <f t="shared" si="0"/>
        <v>0</v>
      </c>
      <c r="F14" s="1463">
        <f t="shared" si="0"/>
        <v>0</v>
      </c>
      <c r="G14" s="1463">
        <f t="shared" si="0"/>
        <v>0</v>
      </c>
      <c r="H14" s="1463">
        <f t="shared" si="0"/>
        <v>0</v>
      </c>
      <c r="I14" s="1463">
        <f t="shared" si="0"/>
        <v>0</v>
      </c>
      <c r="J14" s="1458">
        <f t="shared" si="0"/>
        <v>0</v>
      </c>
      <c r="K14" s="1464">
        <f t="shared" si="7"/>
        <v>0</v>
      </c>
      <c r="N14" s="1443" t="s">
        <v>16</v>
      </c>
      <c r="O14" s="1461" t="s">
        <v>805</v>
      </c>
      <c r="P14" s="1462"/>
      <c r="Q14" s="1463"/>
      <c r="R14" s="1463"/>
      <c r="S14" s="1463"/>
      <c r="T14" s="1463"/>
      <c r="U14" s="1463"/>
      <c r="V14" s="1463"/>
      <c r="W14" s="1458">
        <f t="shared" si="1"/>
        <v>0</v>
      </c>
      <c r="X14" s="1464">
        <f t="shared" si="8"/>
        <v>0</v>
      </c>
      <c r="Z14" s="1443" t="s">
        <v>16</v>
      </c>
      <c r="AA14" s="1461" t="s">
        <v>805</v>
      </c>
      <c r="AB14" s="1462"/>
      <c r="AC14" s="1463"/>
      <c r="AD14" s="1463"/>
      <c r="AE14" s="1463"/>
      <c r="AF14" s="1463"/>
      <c r="AG14" s="1463"/>
      <c r="AH14" s="1463"/>
      <c r="AI14" s="1458">
        <f t="shared" si="2"/>
        <v>0</v>
      </c>
      <c r="AJ14" s="1464">
        <f t="shared" si="9"/>
        <v>0</v>
      </c>
      <c r="AL14" s="1443" t="s">
        <v>16</v>
      </c>
      <c r="AM14" s="1461" t="s">
        <v>805</v>
      </c>
      <c r="AN14" s="1462"/>
      <c r="AO14" s="1463"/>
      <c r="AP14" s="1463"/>
      <c r="AQ14" s="1463"/>
      <c r="AR14" s="1463"/>
      <c r="AS14" s="1463"/>
      <c r="AT14" s="1463"/>
      <c r="AU14" s="1458">
        <f t="shared" si="3"/>
        <v>0</v>
      </c>
      <c r="AV14" s="1464">
        <f t="shared" si="10"/>
        <v>0</v>
      </c>
      <c r="AX14" s="1443" t="s">
        <v>16</v>
      </c>
      <c r="AY14" s="1461" t="s">
        <v>805</v>
      </c>
      <c r="AZ14" s="1462"/>
      <c r="BA14" s="1463"/>
      <c r="BB14" s="1463"/>
      <c r="BC14" s="1463"/>
      <c r="BD14" s="1463"/>
      <c r="BE14" s="1463"/>
      <c r="BF14" s="1463"/>
      <c r="BG14" s="1458">
        <f t="shared" si="4"/>
        <v>0</v>
      </c>
      <c r="BH14" s="1464">
        <f t="shared" si="11"/>
        <v>0</v>
      </c>
      <c r="BJ14" s="1443" t="s">
        <v>16</v>
      </c>
      <c r="BK14" s="1461" t="s">
        <v>805</v>
      </c>
      <c r="BL14" s="1462"/>
      <c r="BM14" s="1463"/>
      <c r="BN14" s="1463"/>
      <c r="BO14" s="1463"/>
      <c r="BP14" s="1463"/>
      <c r="BQ14" s="1463"/>
      <c r="BR14" s="1463"/>
      <c r="BS14" s="1458">
        <f t="shared" si="5"/>
        <v>0</v>
      </c>
      <c r="BT14" s="1464">
        <f t="shared" si="12"/>
        <v>0</v>
      </c>
      <c r="BV14" s="1443" t="s">
        <v>16</v>
      </c>
      <c r="BW14" s="1461" t="s">
        <v>805</v>
      </c>
      <c r="BX14" s="1462"/>
      <c r="BY14" s="1463"/>
      <c r="BZ14" s="1463"/>
      <c r="CA14" s="1463"/>
      <c r="CB14" s="1463"/>
      <c r="CC14" s="1463"/>
      <c r="CD14" s="1463"/>
      <c r="CE14" s="1458">
        <f t="shared" si="6"/>
        <v>0</v>
      </c>
      <c r="CF14" s="1464">
        <f t="shared" si="13"/>
        <v>0</v>
      </c>
    </row>
    <row r="15" spans="1:84" ht="21" customHeight="1">
      <c r="A15" s="1465" t="s">
        <v>15</v>
      </c>
      <c r="B15" s="1466" t="s">
        <v>2796</v>
      </c>
      <c r="C15" s="1467">
        <f t="shared" si="0"/>
        <v>90962</v>
      </c>
      <c r="D15" s="1468">
        <f t="shared" si="0"/>
        <v>42016</v>
      </c>
      <c r="E15" s="1468">
        <f t="shared" si="0"/>
        <v>6801</v>
      </c>
      <c r="F15" s="1468">
        <f t="shared" si="0"/>
        <v>6647</v>
      </c>
      <c r="G15" s="1468">
        <f t="shared" si="0"/>
        <v>5446</v>
      </c>
      <c r="H15" s="1468">
        <f t="shared" si="0"/>
        <v>7860</v>
      </c>
      <c r="I15" s="1468">
        <f t="shared" si="0"/>
        <v>27734</v>
      </c>
      <c r="J15" s="1458">
        <f t="shared" si="0"/>
        <v>96506</v>
      </c>
      <c r="K15" s="1469">
        <f t="shared" si="7"/>
        <v>187468</v>
      </c>
      <c r="N15" s="1465" t="s">
        <v>15</v>
      </c>
      <c r="O15" s="1466" t="s">
        <v>2549</v>
      </c>
      <c r="P15" s="1467">
        <f>86589+77140000+9169243+735964+1980896</f>
        <v>89112692</v>
      </c>
      <c r="Q15" s="1468">
        <f>2860553+17183577+67300+1044581+15647000</f>
        <v>36803011</v>
      </c>
      <c r="R15" s="1468">
        <v>3602449</v>
      </c>
      <c r="S15" s="1468">
        <f>3227176+230205</f>
        <v>3457381</v>
      </c>
      <c r="T15" s="1468">
        <v>4341125</v>
      </c>
      <c r="U15" s="1468">
        <v>7751261</v>
      </c>
      <c r="V15" s="1468">
        <f>21208395+4136574</f>
        <v>25344969</v>
      </c>
      <c r="W15" s="1458">
        <f t="shared" si="1"/>
        <v>81300196</v>
      </c>
      <c r="X15" s="1469">
        <f t="shared" si="8"/>
        <v>170412888</v>
      </c>
      <c r="Z15" s="1465" t="s">
        <v>15</v>
      </c>
      <c r="AA15" s="1466" t="s">
        <v>2549</v>
      </c>
      <c r="AB15" s="1467">
        <f>371824+497743</f>
        <v>869567</v>
      </c>
      <c r="AC15" s="1468">
        <v>2850267</v>
      </c>
      <c r="AD15" s="1468">
        <v>2105831</v>
      </c>
      <c r="AE15" s="1468">
        <f>2430366-3597+1</f>
        <v>2426770</v>
      </c>
      <c r="AF15" s="1468">
        <v>1104803</v>
      </c>
      <c r="AG15" s="1468"/>
      <c r="AH15" s="1468">
        <v>26063</v>
      </c>
      <c r="AI15" s="1458">
        <f t="shared" si="2"/>
        <v>8513734</v>
      </c>
      <c r="AJ15" s="1469">
        <f t="shared" si="9"/>
        <v>9383301</v>
      </c>
      <c r="AL15" s="1465" t="s">
        <v>15</v>
      </c>
      <c r="AM15" s="1466" t="s">
        <v>2549</v>
      </c>
      <c r="AN15" s="1467">
        <v>587197</v>
      </c>
      <c r="AO15" s="1468">
        <v>1906362</v>
      </c>
      <c r="AP15" s="1468">
        <v>714579</v>
      </c>
      <c r="AQ15" s="1468">
        <v>236337</v>
      </c>
      <c r="AR15" s="1468"/>
      <c r="AS15" s="1468">
        <v>108626</v>
      </c>
      <c r="AT15" s="1468">
        <v>2171886</v>
      </c>
      <c r="AU15" s="1458">
        <f t="shared" si="3"/>
        <v>5137790</v>
      </c>
      <c r="AV15" s="1469">
        <f t="shared" si="10"/>
        <v>5724987</v>
      </c>
      <c r="AX15" s="1465" t="s">
        <v>15</v>
      </c>
      <c r="AY15" s="1466" t="s">
        <v>2549</v>
      </c>
      <c r="AZ15" s="1467">
        <v>267496</v>
      </c>
      <c r="BA15" s="1468">
        <v>457380</v>
      </c>
      <c r="BB15" s="1468">
        <v>371619</v>
      </c>
      <c r="BC15" s="1468">
        <v>527299</v>
      </c>
      <c r="BD15" s="1468"/>
      <c r="BE15" s="1468"/>
      <c r="BF15" s="1468">
        <f>1340+189928</f>
        <v>191268</v>
      </c>
      <c r="BG15" s="1458">
        <f t="shared" si="4"/>
        <v>1547566</v>
      </c>
      <c r="BH15" s="1469">
        <f t="shared" si="11"/>
        <v>1815062</v>
      </c>
      <c r="BJ15" s="1465" t="s">
        <v>15</v>
      </c>
      <c r="BK15" s="1466" t="s">
        <v>2549</v>
      </c>
      <c r="BL15" s="1467"/>
      <c r="BM15" s="1468"/>
      <c r="BN15" s="1468">
        <v>6300</v>
      </c>
      <c r="BO15" s="1468"/>
      <c r="BP15" s="1468"/>
      <c r="BQ15" s="1468"/>
      <c r="BR15" s="1468"/>
      <c r="BS15" s="1458">
        <f t="shared" si="5"/>
        <v>6300</v>
      </c>
      <c r="BT15" s="1469">
        <f t="shared" si="12"/>
        <v>6300</v>
      </c>
      <c r="BV15" s="1465" t="s">
        <v>15</v>
      </c>
      <c r="BW15" s="1466" t="s">
        <v>2549</v>
      </c>
      <c r="BX15" s="1467">
        <v>125000</v>
      </c>
      <c r="BY15" s="1468"/>
      <c r="BZ15" s="1468"/>
      <c r="CA15" s="1468"/>
      <c r="CB15" s="1468"/>
      <c r="CC15" s="1468"/>
      <c r="CD15" s="1468"/>
      <c r="CE15" s="1458">
        <f t="shared" si="6"/>
        <v>0</v>
      </c>
      <c r="CF15" s="1469">
        <f t="shared" si="13"/>
        <v>125000</v>
      </c>
    </row>
    <row r="16" spans="1:84" ht="21" customHeight="1" thickBot="1">
      <c r="A16" s="1470" t="s">
        <v>14</v>
      </c>
      <c r="B16" s="1471" t="s">
        <v>2795</v>
      </c>
      <c r="C16" s="1472">
        <f t="shared" si="0"/>
        <v>0</v>
      </c>
      <c r="D16" s="1473">
        <f t="shared" si="0"/>
        <v>0</v>
      </c>
      <c r="E16" s="1473">
        <f t="shared" si="0"/>
        <v>0</v>
      </c>
      <c r="F16" s="1473">
        <f t="shared" si="0"/>
        <v>0</v>
      </c>
      <c r="G16" s="1473">
        <f t="shared" si="0"/>
        <v>0</v>
      </c>
      <c r="H16" s="1473">
        <f t="shared" si="0"/>
        <v>0</v>
      </c>
      <c r="I16" s="1473">
        <f t="shared" si="0"/>
        <v>0</v>
      </c>
      <c r="J16" s="1458">
        <f t="shared" si="0"/>
        <v>0</v>
      </c>
      <c r="K16" s="1474">
        <f t="shared" si="7"/>
        <v>0</v>
      </c>
      <c r="N16" s="1470" t="s">
        <v>14</v>
      </c>
      <c r="O16" s="1471" t="s">
        <v>2550</v>
      </c>
      <c r="P16" s="1472"/>
      <c r="Q16" s="1473"/>
      <c r="R16" s="1473"/>
      <c r="S16" s="1473"/>
      <c r="T16" s="1473"/>
      <c r="U16" s="1473"/>
      <c r="V16" s="1473"/>
      <c r="W16" s="1458">
        <f t="shared" si="1"/>
        <v>0</v>
      </c>
      <c r="X16" s="1474">
        <f t="shared" si="8"/>
        <v>0</v>
      </c>
      <c r="Z16" s="1470" t="s">
        <v>14</v>
      </c>
      <c r="AA16" s="1471" t="s">
        <v>2550</v>
      </c>
      <c r="AB16" s="1472"/>
      <c r="AC16" s="1473"/>
      <c r="AD16" s="1473"/>
      <c r="AE16" s="1473"/>
      <c r="AF16" s="1473"/>
      <c r="AG16" s="1473"/>
      <c r="AH16" s="1473"/>
      <c r="AI16" s="1458">
        <f t="shared" si="2"/>
        <v>0</v>
      </c>
      <c r="AJ16" s="1474">
        <f t="shared" si="9"/>
        <v>0</v>
      </c>
      <c r="AL16" s="1470" t="s">
        <v>14</v>
      </c>
      <c r="AM16" s="1471" t="s">
        <v>2550</v>
      </c>
      <c r="AN16" s="1472"/>
      <c r="AO16" s="1473"/>
      <c r="AP16" s="1473"/>
      <c r="AQ16" s="1473"/>
      <c r="AR16" s="1473"/>
      <c r="AS16" s="1473"/>
      <c r="AT16" s="1473"/>
      <c r="AU16" s="1458">
        <f t="shared" si="3"/>
        <v>0</v>
      </c>
      <c r="AV16" s="1474">
        <f t="shared" si="10"/>
        <v>0</v>
      </c>
      <c r="AX16" s="1470" t="s">
        <v>14</v>
      </c>
      <c r="AY16" s="1471" t="s">
        <v>2550</v>
      </c>
      <c r="AZ16" s="1472"/>
      <c r="BA16" s="1473"/>
      <c r="BB16" s="1473"/>
      <c r="BC16" s="1473"/>
      <c r="BD16" s="1473"/>
      <c r="BE16" s="1473"/>
      <c r="BF16" s="1473"/>
      <c r="BG16" s="1458">
        <f t="shared" si="4"/>
        <v>0</v>
      </c>
      <c r="BH16" s="1474">
        <f t="shared" si="11"/>
        <v>0</v>
      </c>
      <c r="BJ16" s="1470" t="s">
        <v>14</v>
      </c>
      <c r="BK16" s="1471" t="s">
        <v>2550</v>
      </c>
      <c r="BL16" s="1472"/>
      <c r="BM16" s="1473"/>
      <c r="BN16" s="1473"/>
      <c r="BO16" s="1473"/>
      <c r="BP16" s="1473"/>
      <c r="BQ16" s="1473"/>
      <c r="BR16" s="1473"/>
      <c r="BS16" s="1458">
        <f t="shared" si="5"/>
        <v>0</v>
      </c>
      <c r="BT16" s="1474">
        <f t="shared" si="12"/>
        <v>0</v>
      </c>
      <c r="BV16" s="1470" t="s">
        <v>14</v>
      </c>
      <c r="BW16" s="1471" t="s">
        <v>2550</v>
      </c>
      <c r="BX16" s="1472"/>
      <c r="BY16" s="1473"/>
      <c r="BZ16" s="1473"/>
      <c r="CA16" s="1473"/>
      <c r="CB16" s="1473"/>
      <c r="CC16" s="1473"/>
      <c r="CD16" s="1473"/>
      <c r="CE16" s="1458">
        <f t="shared" si="6"/>
        <v>0</v>
      </c>
      <c r="CF16" s="1474">
        <f t="shared" si="13"/>
        <v>0</v>
      </c>
    </row>
    <row r="17" spans="1:84" s="576" customFormat="1" ht="21" customHeight="1" thickBot="1">
      <c r="A17" s="1954" t="s">
        <v>2551</v>
      </c>
      <c r="B17" s="1967"/>
      <c r="C17" s="1475">
        <f>SUM(C10:C16)</f>
        <v>96796</v>
      </c>
      <c r="D17" s="1475">
        <f t="shared" ref="D17:K17" si="14">SUM(D10:D16)</f>
        <v>42040</v>
      </c>
      <c r="E17" s="1475">
        <f t="shared" si="14"/>
        <v>6801</v>
      </c>
      <c r="F17" s="1475">
        <f t="shared" si="14"/>
        <v>6647</v>
      </c>
      <c r="G17" s="1475">
        <f t="shared" si="14"/>
        <v>5446</v>
      </c>
      <c r="H17" s="1475">
        <f t="shared" si="14"/>
        <v>10443</v>
      </c>
      <c r="I17" s="1475">
        <f t="shared" si="14"/>
        <v>27734</v>
      </c>
      <c r="J17" s="1475">
        <f t="shared" si="14"/>
        <v>99113</v>
      </c>
      <c r="K17" s="1476">
        <f t="shared" si="14"/>
        <v>195909</v>
      </c>
      <c r="N17" s="1954" t="s">
        <v>2551</v>
      </c>
      <c r="O17" s="1967"/>
      <c r="P17" s="1475">
        <f>SUM(P10:P16)</f>
        <v>92360111</v>
      </c>
      <c r="Q17" s="1475">
        <f t="shared" ref="Q17:X17" si="15">SUM(Q10:Q16)</f>
        <v>36803011</v>
      </c>
      <c r="R17" s="1475">
        <f t="shared" si="15"/>
        <v>3602449</v>
      </c>
      <c r="S17" s="1475">
        <f t="shared" si="15"/>
        <v>3457381</v>
      </c>
      <c r="T17" s="1475">
        <f t="shared" si="15"/>
        <v>4341125</v>
      </c>
      <c r="U17" s="1475">
        <f t="shared" si="15"/>
        <v>10334107</v>
      </c>
      <c r="V17" s="1475">
        <f t="shared" si="15"/>
        <v>25344969</v>
      </c>
      <c r="W17" s="1475">
        <f t="shared" si="15"/>
        <v>83883042</v>
      </c>
      <c r="X17" s="1476">
        <f t="shared" si="15"/>
        <v>176243153</v>
      </c>
      <c r="Z17" s="1954" t="s">
        <v>2551</v>
      </c>
      <c r="AA17" s="1967"/>
      <c r="AB17" s="1475">
        <f>SUM(AB10:AB16)</f>
        <v>1205567</v>
      </c>
      <c r="AC17" s="1475">
        <f t="shared" ref="AC17:AJ17" si="16">SUM(AC10:AC16)</f>
        <v>2873895</v>
      </c>
      <c r="AD17" s="1475">
        <f t="shared" si="16"/>
        <v>2105831</v>
      </c>
      <c r="AE17" s="1475">
        <f t="shared" si="16"/>
        <v>2426770</v>
      </c>
      <c r="AF17" s="1475">
        <f t="shared" si="16"/>
        <v>1104803</v>
      </c>
      <c r="AG17" s="1475">
        <f t="shared" si="16"/>
        <v>0</v>
      </c>
      <c r="AH17" s="1475">
        <f t="shared" si="16"/>
        <v>26063</v>
      </c>
      <c r="AI17" s="1475">
        <f t="shared" si="16"/>
        <v>8537362</v>
      </c>
      <c r="AJ17" s="1476">
        <f t="shared" si="16"/>
        <v>9742929</v>
      </c>
      <c r="AL17" s="1954" t="s">
        <v>2551</v>
      </c>
      <c r="AM17" s="1967"/>
      <c r="AN17" s="1475">
        <f>SUM(AN10:AN16)</f>
        <v>2805197</v>
      </c>
      <c r="AO17" s="1475">
        <f t="shared" ref="AO17:AV17" si="17">SUM(AO10:AO16)</f>
        <v>1906362</v>
      </c>
      <c r="AP17" s="1475">
        <f t="shared" si="17"/>
        <v>714579</v>
      </c>
      <c r="AQ17" s="1475">
        <f t="shared" si="17"/>
        <v>236337</v>
      </c>
      <c r="AR17" s="1475">
        <f t="shared" si="17"/>
        <v>0</v>
      </c>
      <c r="AS17" s="1475">
        <f t="shared" si="17"/>
        <v>108626</v>
      </c>
      <c r="AT17" s="1475">
        <f t="shared" si="17"/>
        <v>2171886</v>
      </c>
      <c r="AU17" s="1475">
        <f t="shared" si="17"/>
        <v>5137790</v>
      </c>
      <c r="AV17" s="1476">
        <f t="shared" si="17"/>
        <v>7942987</v>
      </c>
      <c r="AX17" s="1954" t="s">
        <v>2551</v>
      </c>
      <c r="AY17" s="1967"/>
      <c r="AZ17" s="1475">
        <f>SUM(AZ10:AZ16)</f>
        <v>267496</v>
      </c>
      <c r="BA17" s="1475">
        <f t="shared" ref="BA17:BH17" si="18">SUM(BA10:BA16)</f>
        <v>457380</v>
      </c>
      <c r="BB17" s="1475">
        <f t="shared" si="18"/>
        <v>371619</v>
      </c>
      <c r="BC17" s="1475">
        <f t="shared" si="18"/>
        <v>527299</v>
      </c>
      <c r="BD17" s="1475">
        <f t="shared" si="18"/>
        <v>0</v>
      </c>
      <c r="BE17" s="1475">
        <f t="shared" si="18"/>
        <v>0</v>
      </c>
      <c r="BF17" s="1475">
        <f t="shared" si="18"/>
        <v>191268</v>
      </c>
      <c r="BG17" s="1475">
        <f t="shared" si="18"/>
        <v>1547566</v>
      </c>
      <c r="BH17" s="1476">
        <f t="shared" si="18"/>
        <v>1815062</v>
      </c>
      <c r="BJ17" s="1954" t="s">
        <v>2551</v>
      </c>
      <c r="BK17" s="1967"/>
      <c r="BL17" s="1475">
        <f>SUM(BL10:BL16)</f>
        <v>0</v>
      </c>
      <c r="BM17" s="1475">
        <f t="shared" ref="BM17:BT17" si="19">SUM(BM10:BM16)</f>
        <v>0</v>
      </c>
      <c r="BN17" s="1475">
        <f t="shared" si="19"/>
        <v>6300</v>
      </c>
      <c r="BO17" s="1475">
        <f t="shared" si="19"/>
        <v>0</v>
      </c>
      <c r="BP17" s="1475">
        <f t="shared" si="19"/>
        <v>0</v>
      </c>
      <c r="BQ17" s="1475">
        <f t="shared" si="19"/>
        <v>0</v>
      </c>
      <c r="BR17" s="1475">
        <f t="shared" si="19"/>
        <v>0</v>
      </c>
      <c r="BS17" s="1475">
        <f t="shared" si="19"/>
        <v>6300</v>
      </c>
      <c r="BT17" s="1476">
        <f t="shared" si="19"/>
        <v>6300</v>
      </c>
      <c r="BV17" s="1954" t="s">
        <v>2551</v>
      </c>
      <c r="BW17" s="1967"/>
      <c r="BX17" s="1475">
        <f>SUM(BX10:BX16)</f>
        <v>158000</v>
      </c>
      <c r="BY17" s="1475">
        <f t="shared" ref="BY17:CF17" si="20">SUM(BY10:BY16)</f>
        <v>0</v>
      </c>
      <c r="BZ17" s="1475">
        <f t="shared" si="20"/>
        <v>0</v>
      </c>
      <c r="CA17" s="1475">
        <f t="shared" si="20"/>
        <v>0</v>
      </c>
      <c r="CB17" s="1475">
        <f t="shared" si="20"/>
        <v>0</v>
      </c>
      <c r="CC17" s="1475">
        <f t="shared" si="20"/>
        <v>0</v>
      </c>
      <c r="CD17" s="1475">
        <f t="shared" si="20"/>
        <v>0</v>
      </c>
      <c r="CE17" s="1475">
        <f t="shared" si="20"/>
        <v>0</v>
      </c>
      <c r="CF17" s="1476">
        <f t="shared" si="20"/>
        <v>158000</v>
      </c>
    </row>
    <row r="18" spans="1:84" ht="21" customHeight="1">
      <c r="A18" s="1964" t="s">
        <v>2552</v>
      </c>
      <c r="B18" s="1965"/>
      <c r="C18" s="1965"/>
      <c r="D18" s="1965"/>
      <c r="E18" s="1965"/>
      <c r="F18" s="1965"/>
      <c r="G18" s="1965"/>
      <c r="H18" s="1965"/>
      <c r="I18" s="1965"/>
      <c r="J18" s="1965"/>
      <c r="K18" s="1966"/>
      <c r="N18" s="1964" t="s">
        <v>2552</v>
      </c>
      <c r="O18" s="1965"/>
      <c r="P18" s="1965"/>
      <c r="Q18" s="1965"/>
      <c r="R18" s="1965"/>
      <c r="S18" s="1965"/>
      <c r="T18" s="1965"/>
      <c r="U18" s="1965"/>
      <c r="V18" s="1965"/>
      <c r="W18" s="1965"/>
      <c r="X18" s="1966"/>
      <c r="Z18" s="1964" t="s">
        <v>2552</v>
      </c>
      <c r="AA18" s="1965"/>
      <c r="AB18" s="1965"/>
      <c r="AC18" s="1965"/>
      <c r="AD18" s="1965"/>
      <c r="AE18" s="1965"/>
      <c r="AF18" s="1965"/>
      <c r="AG18" s="1965"/>
      <c r="AH18" s="1965"/>
      <c r="AI18" s="1965"/>
      <c r="AJ18" s="1966"/>
      <c r="AL18" s="1964" t="s">
        <v>2552</v>
      </c>
      <c r="AM18" s="1965"/>
      <c r="AN18" s="1965"/>
      <c r="AO18" s="1965"/>
      <c r="AP18" s="1965"/>
      <c r="AQ18" s="1965"/>
      <c r="AR18" s="1965"/>
      <c r="AS18" s="1965"/>
      <c r="AT18" s="1965"/>
      <c r="AU18" s="1965"/>
      <c r="AV18" s="1966"/>
      <c r="AX18" s="1964" t="s">
        <v>2552</v>
      </c>
      <c r="AY18" s="1965"/>
      <c r="AZ18" s="1965"/>
      <c r="BA18" s="1965"/>
      <c r="BB18" s="1965"/>
      <c r="BC18" s="1965"/>
      <c r="BD18" s="1965"/>
      <c r="BE18" s="1965"/>
      <c r="BF18" s="1965"/>
      <c r="BG18" s="1965"/>
      <c r="BH18" s="1966"/>
      <c r="BJ18" s="1964" t="s">
        <v>2552</v>
      </c>
      <c r="BK18" s="1965"/>
      <c r="BL18" s="1965"/>
      <c r="BM18" s="1965"/>
      <c r="BN18" s="1965"/>
      <c r="BO18" s="1965"/>
      <c r="BP18" s="1965"/>
      <c r="BQ18" s="1965"/>
      <c r="BR18" s="1965"/>
      <c r="BS18" s="1965"/>
      <c r="BT18" s="1966"/>
      <c r="BV18" s="1964" t="s">
        <v>2552</v>
      </c>
      <c r="BW18" s="1965"/>
      <c r="BX18" s="1965"/>
      <c r="BY18" s="1965"/>
      <c r="BZ18" s="1965"/>
      <c r="CA18" s="1965"/>
      <c r="CB18" s="1965"/>
      <c r="CC18" s="1965"/>
      <c r="CD18" s="1965"/>
      <c r="CE18" s="1965"/>
      <c r="CF18" s="1966"/>
    </row>
    <row r="19" spans="1:84" ht="21" customHeight="1">
      <c r="A19" s="1435" t="s">
        <v>4</v>
      </c>
      <c r="B19" s="1457" t="s">
        <v>2553</v>
      </c>
      <c r="C19" s="1458">
        <f t="shared" ref="C19:I20" si="21">+ROUND(P19/1000,0)+ROUND(AB19/1000,0)+ROUND(AN19/1000,0)+ROUND(AZ19/1000,0)+ROUND(BL19/1000,0)+ROUND(BX19/1000,0)</f>
        <v>0</v>
      </c>
      <c r="D19" s="1459">
        <f t="shared" si="21"/>
        <v>0</v>
      </c>
      <c r="E19" s="1459">
        <f t="shared" si="21"/>
        <v>0</v>
      </c>
      <c r="F19" s="1459">
        <f t="shared" si="21"/>
        <v>0</v>
      </c>
      <c r="G19" s="1459">
        <f t="shared" si="21"/>
        <v>0</v>
      </c>
      <c r="H19" s="1459">
        <f t="shared" si="21"/>
        <v>0</v>
      </c>
      <c r="I19" s="1459">
        <f t="shared" si="21"/>
        <v>0</v>
      </c>
      <c r="J19" s="1458">
        <f>+W19+AI19+AU19+BG19+BS19</f>
        <v>0</v>
      </c>
      <c r="K19" s="1460">
        <f>+C19+J19</f>
        <v>0</v>
      </c>
      <c r="N19" s="1435" t="s">
        <v>4</v>
      </c>
      <c r="O19" s="1457" t="s">
        <v>2553</v>
      </c>
      <c r="P19" s="1458"/>
      <c r="Q19" s="1459"/>
      <c r="R19" s="1459"/>
      <c r="S19" s="1459"/>
      <c r="T19" s="1459"/>
      <c r="U19" s="1459"/>
      <c r="V19" s="1459"/>
      <c r="W19" s="1458">
        <f>SUM(Q19:V19)</f>
        <v>0</v>
      </c>
      <c r="X19" s="1460">
        <f>+P19+W19</f>
        <v>0</v>
      </c>
      <c r="Z19" s="1435" t="s">
        <v>4</v>
      </c>
      <c r="AA19" s="1457" t="s">
        <v>2553</v>
      </c>
      <c r="AB19" s="1458"/>
      <c r="AC19" s="1459"/>
      <c r="AD19" s="1459"/>
      <c r="AE19" s="1459"/>
      <c r="AF19" s="1459"/>
      <c r="AG19" s="1459"/>
      <c r="AH19" s="1459"/>
      <c r="AI19" s="1458">
        <f>SUM(AC19:AH19)</f>
        <v>0</v>
      </c>
      <c r="AJ19" s="1460">
        <f>+AB19+AI19</f>
        <v>0</v>
      </c>
      <c r="AL19" s="1435" t="s">
        <v>4</v>
      </c>
      <c r="AM19" s="1457" t="s">
        <v>2553</v>
      </c>
      <c r="AN19" s="1458"/>
      <c r="AO19" s="1459"/>
      <c r="AP19" s="1459"/>
      <c r="AQ19" s="1459"/>
      <c r="AR19" s="1459"/>
      <c r="AS19" s="1459"/>
      <c r="AT19" s="1459"/>
      <c r="AU19" s="1458">
        <f>SUM(AO19:AT19)</f>
        <v>0</v>
      </c>
      <c r="AV19" s="1460">
        <f>+AN19+AU19</f>
        <v>0</v>
      </c>
      <c r="AX19" s="1435" t="s">
        <v>4</v>
      </c>
      <c r="AY19" s="1457" t="s">
        <v>2553</v>
      </c>
      <c r="AZ19" s="1458"/>
      <c r="BA19" s="1459"/>
      <c r="BB19" s="1459"/>
      <c r="BC19" s="1459"/>
      <c r="BD19" s="1459"/>
      <c r="BE19" s="1459"/>
      <c r="BF19" s="1459"/>
      <c r="BG19" s="1458">
        <f>SUM(BA19:BF19)</f>
        <v>0</v>
      </c>
      <c r="BH19" s="1460">
        <f>+AZ19+BG19</f>
        <v>0</v>
      </c>
      <c r="BJ19" s="1435" t="s">
        <v>4</v>
      </c>
      <c r="BK19" s="1457" t="s">
        <v>2553</v>
      </c>
      <c r="BL19" s="1458"/>
      <c r="BM19" s="1459"/>
      <c r="BN19" s="1459"/>
      <c r="BO19" s="1459"/>
      <c r="BP19" s="1459"/>
      <c r="BQ19" s="1459"/>
      <c r="BR19" s="1459"/>
      <c r="BS19" s="1458">
        <f>SUM(BM19:BR19)</f>
        <v>0</v>
      </c>
      <c r="BT19" s="1460">
        <f>+BL19+BS19</f>
        <v>0</v>
      </c>
      <c r="BV19" s="1435" t="s">
        <v>4</v>
      </c>
      <c r="BW19" s="1457" t="s">
        <v>2553</v>
      </c>
      <c r="BX19" s="1458"/>
      <c r="BY19" s="1459"/>
      <c r="BZ19" s="1459"/>
      <c r="CA19" s="1459"/>
      <c r="CB19" s="1459"/>
      <c r="CC19" s="1459"/>
      <c r="CD19" s="1459"/>
      <c r="CE19" s="1458">
        <f>SUM(BY19:CD19)</f>
        <v>0</v>
      </c>
      <c r="CF19" s="1460">
        <f>+BX19+CE19</f>
        <v>0</v>
      </c>
    </row>
    <row r="20" spans="1:84" ht="21" customHeight="1" thickBot="1">
      <c r="A20" s="1465" t="s">
        <v>5</v>
      </c>
      <c r="B20" s="1466" t="s">
        <v>2554</v>
      </c>
      <c r="C20" s="1467">
        <f t="shared" si="21"/>
        <v>0</v>
      </c>
      <c r="D20" s="1468">
        <f t="shared" si="21"/>
        <v>0</v>
      </c>
      <c r="E20" s="1468">
        <f t="shared" si="21"/>
        <v>0</v>
      </c>
      <c r="F20" s="1468">
        <f t="shared" si="21"/>
        <v>0</v>
      </c>
      <c r="G20" s="1468">
        <f t="shared" si="21"/>
        <v>0</v>
      </c>
      <c r="H20" s="1468">
        <f t="shared" si="21"/>
        <v>0</v>
      </c>
      <c r="I20" s="1468">
        <f t="shared" si="21"/>
        <v>0</v>
      </c>
      <c r="J20" s="1458">
        <f>+W20+AI20+AU20+BG20+BS20</f>
        <v>0</v>
      </c>
      <c r="K20" s="1469">
        <f>+C20+J20</f>
        <v>0</v>
      </c>
      <c r="N20" s="1465" t="s">
        <v>5</v>
      </c>
      <c r="O20" s="1466" t="s">
        <v>2554</v>
      </c>
      <c r="P20" s="1467"/>
      <c r="Q20" s="1468"/>
      <c r="R20" s="1468"/>
      <c r="S20" s="1468"/>
      <c r="T20" s="1468"/>
      <c r="U20" s="1468"/>
      <c r="V20" s="1468"/>
      <c r="W20" s="1458">
        <f>SUM(Q20:V20)</f>
        <v>0</v>
      </c>
      <c r="X20" s="1469">
        <f>+P20+W20</f>
        <v>0</v>
      </c>
      <c r="Z20" s="1465" t="s">
        <v>5</v>
      </c>
      <c r="AA20" s="1466" t="s">
        <v>2554</v>
      </c>
      <c r="AB20" s="1467"/>
      <c r="AC20" s="1468"/>
      <c r="AD20" s="1468"/>
      <c r="AE20" s="1468"/>
      <c r="AF20" s="1468"/>
      <c r="AG20" s="1468"/>
      <c r="AH20" s="1468"/>
      <c r="AI20" s="1458">
        <f>SUM(AC20:AH20)</f>
        <v>0</v>
      </c>
      <c r="AJ20" s="1469">
        <f>+AB20+AI20</f>
        <v>0</v>
      </c>
      <c r="AL20" s="1465" t="s">
        <v>5</v>
      </c>
      <c r="AM20" s="1466" t="s">
        <v>2554</v>
      </c>
      <c r="AN20" s="1467"/>
      <c r="AO20" s="1468"/>
      <c r="AP20" s="1468"/>
      <c r="AQ20" s="1468"/>
      <c r="AR20" s="1468"/>
      <c r="AS20" s="1468"/>
      <c r="AT20" s="1468"/>
      <c r="AU20" s="1458">
        <f>SUM(AO20:AT20)</f>
        <v>0</v>
      </c>
      <c r="AV20" s="1469">
        <f>+AN20+AU20</f>
        <v>0</v>
      </c>
      <c r="AX20" s="1465" t="s">
        <v>5</v>
      </c>
      <c r="AY20" s="1466" t="s">
        <v>2554</v>
      </c>
      <c r="AZ20" s="1467"/>
      <c r="BA20" s="1468"/>
      <c r="BB20" s="1468"/>
      <c r="BC20" s="1468"/>
      <c r="BD20" s="1468"/>
      <c r="BE20" s="1468"/>
      <c r="BF20" s="1468"/>
      <c r="BG20" s="1458">
        <f>SUM(BA20:BF20)</f>
        <v>0</v>
      </c>
      <c r="BH20" s="1469">
        <f>+AZ20+BG20</f>
        <v>0</v>
      </c>
      <c r="BJ20" s="1465" t="s">
        <v>5</v>
      </c>
      <c r="BK20" s="1466" t="s">
        <v>2554</v>
      </c>
      <c r="BL20" s="1467"/>
      <c r="BM20" s="1468"/>
      <c r="BN20" s="1468"/>
      <c r="BO20" s="1468"/>
      <c r="BP20" s="1468"/>
      <c r="BQ20" s="1468"/>
      <c r="BR20" s="1468"/>
      <c r="BS20" s="1458">
        <f>SUM(BM20:BR20)</f>
        <v>0</v>
      </c>
      <c r="BT20" s="1469">
        <f>+BL20+BS20</f>
        <v>0</v>
      </c>
      <c r="BV20" s="1465" t="s">
        <v>5</v>
      </c>
      <c r="BW20" s="1466" t="s">
        <v>2554</v>
      </c>
      <c r="BX20" s="1467"/>
      <c r="BY20" s="1468"/>
      <c r="BZ20" s="1468"/>
      <c r="CA20" s="1468"/>
      <c r="CB20" s="1468"/>
      <c r="CC20" s="1468"/>
      <c r="CD20" s="1468"/>
      <c r="CE20" s="1458">
        <f>SUM(BY20:CD20)</f>
        <v>0</v>
      </c>
      <c r="CF20" s="1469">
        <f>+BX20+CE20</f>
        <v>0</v>
      </c>
    </row>
    <row r="21" spans="1:84" ht="21" customHeight="1" thickBot="1">
      <c r="A21" s="1954" t="s">
        <v>2555</v>
      </c>
      <c r="B21" s="1967"/>
      <c r="C21" s="1475">
        <f>SUM(C19:C20)</f>
        <v>0</v>
      </c>
      <c r="D21" s="1475">
        <f t="shared" ref="D21:K21" si="22">SUM(D19:D20)</f>
        <v>0</v>
      </c>
      <c r="E21" s="1475">
        <f t="shared" si="22"/>
        <v>0</v>
      </c>
      <c r="F21" s="1475">
        <f t="shared" si="22"/>
        <v>0</v>
      </c>
      <c r="G21" s="1475">
        <f t="shared" si="22"/>
        <v>0</v>
      </c>
      <c r="H21" s="1475">
        <f t="shared" si="22"/>
        <v>0</v>
      </c>
      <c r="I21" s="1475">
        <f t="shared" si="22"/>
        <v>0</v>
      </c>
      <c r="J21" s="1475">
        <f t="shared" si="22"/>
        <v>0</v>
      </c>
      <c r="K21" s="1476">
        <f t="shared" si="22"/>
        <v>0</v>
      </c>
      <c r="N21" s="1954" t="s">
        <v>2555</v>
      </c>
      <c r="O21" s="1967"/>
      <c r="P21" s="1475">
        <f>SUM(P19:P20)</f>
        <v>0</v>
      </c>
      <c r="Q21" s="1475">
        <f t="shared" ref="Q21:X21" si="23">SUM(Q19:Q20)</f>
        <v>0</v>
      </c>
      <c r="R21" s="1475">
        <f t="shared" si="23"/>
        <v>0</v>
      </c>
      <c r="S21" s="1475">
        <f t="shared" si="23"/>
        <v>0</v>
      </c>
      <c r="T21" s="1475">
        <f t="shared" si="23"/>
        <v>0</v>
      </c>
      <c r="U21" s="1475">
        <f t="shared" si="23"/>
        <v>0</v>
      </c>
      <c r="V21" s="1475">
        <f t="shared" si="23"/>
        <v>0</v>
      </c>
      <c r="W21" s="1475">
        <f t="shared" si="23"/>
        <v>0</v>
      </c>
      <c r="X21" s="1476">
        <f t="shared" si="23"/>
        <v>0</v>
      </c>
      <c r="Z21" s="1954" t="s">
        <v>2555</v>
      </c>
      <c r="AA21" s="1967"/>
      <c r="AB21" s="1475">
        <f>SUM(AB19:AB20)</f>
        <v>0</v>
      </c>
      <c r="AC21" s="1475">
        <f t="shared" ref="AC21:AJ21" si="24">SUM(AC19:AC20)</f>
        <v>0</v>
      </c>
      <c r="AD21" s="1475">
        <f t="shared" si="24"/>
        <v>0</v>
      </c>
      <c r="AE21" s="1475">
        <f t="shared" si="24"/>
        <v>0</v>
      </c>
      <c r="AF21" s="1475">
        <f t="shared" si="24"/>
        <v>0</v>
      </c>
      <c r="AG21" s="1475">
        <f t="shared" si="24"/>
        <v>0</v>
      </c>
      <c r="AH21" s="1475">
        <f t="shared" si="24"/>
        <v>0</v>
      </c>
      <c r="AI21" s="1475">
        <f t="shared" si="24"/>
        <v>0</v>
      </c>
      <c r="AJ21" s="1476">
        <f t="shared" si="24"/>
        <v>0</v>
      </c>
      <c r="AL21" s="1954" t="s">
        <v>2555</v>
      </c>
      <c r="AM21" s="1967"/>
      <c r="AN21" s="1475">
        <f>SUM(AN19:AN20)</f>
        <v>0</v>
      </c>
      <c r="AO21" s="1475">
        <f t="shared" ref="AO21:AV21" si="25">SUM(AO19:AO20)</f>
        <v>0</v>
      </c>
      <c r="AP21" s="1475">
        <f t="shared" si="25"/>
        <v>0</v>
      </c>
      <c r="AQ21" s="1475">
        <f t="shared" si="25"/>
        <v>0</v>
      </c>
      <c r="AR21" s="1475">
        <f t="shared" si="25"/>
        <v>0</v>
      </c>
      <c r="AS21" s="1475">
        <f t="shared" si="25"/>
        <v>0</v>
      </c>
      <c r="AT21" s="1475">
        <f t="shared" si="25"/>
        <v>0</v>
      </c>
      <c r="AU21" s="1475">
        <f t="shared" si="25"/>
        <v>0</v>
      </c>
      <c r="AV21" s="1476">
        <f t="shared" si="25"/>
        <v>0</v>
      </c>
      <c r="AX21" s="1954" t="s">
        <v>2555</v>
      </c>
      <c r="AY21" s="1967"/>
      <c r="AZ21" s="1475">
        <f>SUM(AZ19:AZ20)</f>
        <v>0</v>
      </c>
      <c r="BA21" s="1475">
        <f t="shared" ref="BA21:BH21" si="26">SUM(BA19:BA20)</f>
        <v>0</v>
      </c>
      <c r="BB21" s="1475">
        <f t="shared" si="26"/>
        <v>0</v>
      </c>
      <c r="BC21" s="1475">
        <f t="shared" si="26"/>
        <v>0</v>
      </c>
      <c r="BD21" s="1475">
        <f t="shared" si="26"/>
        <v>0</v>
      </c>
      <c r="BE21" s="1475">
        <f t="shared" si="26"/>
        <v>0</v>
      </c>
      <c r="BF21" s="1475">
        <f t="shared" si="26"/>
        <v>0</v>
      </c>
      <c r="BG21" s="1475">
        <f t="shared" si="26"/>
        <v>0</v>
      </c>
      <c r="BH21" s="1476">
        <f t="shared" si="26"/>
        <v>0</v>
      </c>
      <c r="BJ21" s="1954" t="s">
        <v>2555</v>
      </c>
      <c r="BK21" s="1967"/>
      <c r="BL21" s="1475">
        <f>SUM(BL19:BL20)</f>
        <v>0</v>
      </c>
      <c r="BM21" s="1475">
        <f t="shared" ref="BM21:BT21" si="27">SUM(BM19:BM20)</f>
        <v>0</v>
      </c>
      <c r="BN21" s="1475">
        <f t="shared" si="27"/>
        <v>0</v>
      </c>
      <c r="BO21" s="1475">
        <f t="shared" si="27"/>
        <v>0</v>
      </c>
      <c r="BP21" s="1475">
        <f t="shared" si="27"/>
        <v>0</v>
      </c>
      <c r="BQ21" s="1475">
        <f t="shared" si="27"/>
        <v>0</v>
      </c>
      <c r="BR21" s="1475">
        <f t="shared" si="27"/>
        <v>0</v>
      </c>
      <c r="BS21" s="1475">
        <f t="shared" si="27"/>
        <v>0</v>
      </c>
      <c r="BT21" s="1476">
        <f t="shared" si="27"/>
        <v>0</v>
      </c>
      <c r="BV21" s="1954" t="s">
        <v>2555</v>
      </c>
      <c r="BW21" s="1967"/>
      <c r="BX21" s="1475">
        <f>SUM(BX19:BX20)</f>
        <v>0</v>
      </c>
      <c r="BY21" s="1475">
        <f t="shared" ref="BY21:CF21" si="28">SUM(BY19:BY20)</f>
        <v>0</v>
      </c>
      <c r="BZ21" s="1475">
        <f t="shared" si="28"/>
        <v>0</v>
      </c>
      <c r="CA21" s="1475">
        <f t="shared" si="28"/>
        <v>0</v>
      </c>
      <c r="CB21" s="1475">
        <f t="shared" si="28"/>
        <v>0</v>
      </c>
      <c r="CC21" s="1475">
        <f t="shared" si="28"/>
        <v>0</v>
      </c>
      <c r="CD21" s="1475">
        <f t="shared" si="28"/>
        <v>0</v>
      </c>
      <c r="CE21" s="1475">
        <f t="shared" si="28"/>
        <v>0</v>
      </c>
      <c r="CF21" s="1476">
        <f t="shared" si="28"/>
        <v>0</v>
      </c>
    </row>
    <row r="22" spans="1:84" ht="21" customHeight="1" thickBot="1">
      <c r="A22" s="1954" t="s">
        <v>2556</v>
      </c>
      <c r="B22" s="1967"/>
      <c r="C22" s="1475">
        <f>+C17+C21</f>
        <v>96796</v>
      </c>
      <c r="D22" s="1475">
        <f t="shared" ref="D22:K22" si="29">+D17+D21</f>
        <v>42040</v>
      </c>
      <c r="E22" s="1475">
        <f t="shared" si="29"/>
        <v>6801</v>
      </c>
      <c r="F22" s="1475">
        <f t="shared" si="29"/>
        <v>6647</v>
      </c>
      <c r="G22" s="1475">
        <f t="shared" si="29"/>
        <v>5446</v>
      </c>
      <c r="H22" s="1475">
        <f t="shared" si="29"/>
        <v>10443</v>
      </c>
      <c r="I22" s="1475">
        <f t="shared" si="29"/>
        <v>27734</v>
      </c>
      <c r="J22" s="1475">
        <f t="shared" si="29"/>
        <v>99113</v>
      </c>
      <c r="K22" s="1476">
        <f t="shared" si="29"/>
        <v>195909</v>
      </c>
      <c r="N22" s="1954" t="s">
        <v>2556</v>
      </c>
      <c r="O22" s="1967"/>
      <c r="P22" s="1475">
        <f>+P17+P21</f>
        <v>92360111</v>
      </c>
      <c r="Q22" s="1475">
        <f t="shared" ref="Q22:X22" si="30">+Q17+Q21</f>
        <v>36803011</v>
      </c>
      <c r="R22" s="1475">
        <f t="shared" si="30"/>
        <v>3602449</v>
      </c>
      <c r="S22" s="1475">
        <f t="shared" si="30"/>
        <v>3457381</v>
      </c>
      <c r="T22" s="1475">
        <f t="shared" si="30"/>
        <v>4341125</v>
      </c>
      <c r="U22" s="1475">
        <f t="shared" si="30"/>
        <v>10334107</v>
      </c>
      <c r="V22" s="1475">
        <f t="shared" si="30"/>
        <v>25344969</v>
      </c>
      <c r="W22" s="1475">
        <f t="shared" si="30"/>
        <v>83883042</v>
      </c>
      <c r="X22" s="1476">
        <f t="shared" si="30"/>
        <v>176243153</v>
      </c>
      <c r="Z22" s="1954" t="s">
        <v>2556</v>
      </c>
      <c r="AA22" s="1967"/>
      <c r="AB22" s="1475">
        <f>+AB17+AB21</f>
        <v>1205567</v>
      </c>
      <c r="AC22" s="1475">
        <f t="shared" ref="AC22:AJ22" si="31">+AC17+AC21</f>
        <v>2873895</v>
      </c>
      <c r="AD22" s="1475">
        <f t="shared" si="31"/>
        <v>2105831</v>
      </c>
      <c r="AE22" s="1475">
        <f t="shared" si="31"/>
        <v>2426770</v>
      </c>
      <c r="AF22" s="1475">
        <f t="shared" si="31"/>
        <v>1104803</v>
      </c>
      <c r="AG22" s="1475">
        <f t="shared" si="31"/>
        <v>0</v>
      </c>
      <c r="AH22" s="1475">
        <f t="shared" si="31"/>
        <v>26063</v>
      </c>
      <c r="AI22" s="1475">
        <f t="shared" si="31"/>
        <v>8537362</v>
      </c>
      <c r="AJ22" s="1476">
        <f t="shared" si="31"/>
        <v>9742929</v>
      </c>
      <c r="AL22" s="1954" t="s">
        <v>2556</v>
      </c>
      <c r="AM22" s="1967"/>
      <c r="AN22" s="1475">
        <f>+AN17+AN21</f>
        <v>2805197</v>
      </c>
      <c r="AO22" s="1475">
        <f t="shared" ref="AO22:AV22" si="32">+AO17+AO21</f>
        <v>1906362</v>
      </c>
      <c r="AP22" s="1475">
        <f t="shared" si="32"/>
        <v>714579</v>
      </c>
      <c r="AQ22" s="1475">
        <f t="shared" si="32"/>
        <v>236337</v>
      </c>
      <c r="AR22" s="1475">
        <f t="shared" si="32"/>
        <v>0</v>
      </c>
      <c r="AS22" s="1475">
        <f t="shared" si="32"/>
        <v>108626</v>
      </c>
      <c r="AT22" s="1475">
        <f t="shared" si="32"/>
        <v>2171886</v>
      </c>
      <c r="AU22" s="1475">
        <f t="shared" si="32"/>
        <v>5137790</v>
      </c>
      <c r="AV22" s="1476">
        <f t="shared" si="32"/>
        <v>7942987</v>
      </c>
      <c r="AX22" s="1954" t="s">
        <v>2556</v>
      </c>
      <c r="AY22" s="1967"/>
      <c r="AZ22" s="1475">
        <f>+AZ17+AZ21</f>
        <v>267496</v>
      </c>
      <c r="BA22" s="1475">
        <f t="shared" ref="BA22:BH22" si="33">+BA17+BA21</f>
        <v>457380</v>
      </c>
      <c r="BB22" s="1475">
        <f t="shared" si="33"/>
        <v>371619</v>
      </c>
      <c r="BC22" s="1475">
        <f t="shared" si="33"/>
        <v>527299</v>
      </c>
      <c r="BD22" s="1475">
        <f t="shared" si="33"/>
        <v>0</v>
      </c>
      <c r="BE22" s="1475">
        <f t="shared" si="33"/>
        <v>0</v>
      </c>
      <c r="BF22" s="1475">
        <f t="shared" si="33"/>
        <v>191268</v>
      </c>
      <c r="BG22" s="1475">
        <f t="shared" si="33"/>
        <v>1547566</v>
      </c>
      <c r="BH22" s="1476">
        <f t="shared" si="33"/>
        <v>1815062</v>
      </c>
      <c r="BJ22" s="1954" t="s">
        <v>2556</v>
      </c>
      <c r="BK22" s="1967"/>
      <c r="BL22" s="1475">
        <f>+BL17+BL21</f>
        <v>0</v>
      </c>
      <c r="BM22" s="1475">
        <f t="shared" ref="BM22:BT22" si="34">+BM17+BM21</f>
        <v>0</v>
      </c>
      <c r="BN22" s="1475">
        <f t="shared" si="34"/>
        <v>6300</v>
      </c>
      <c r="BO22" s="1475">
        <f t="shared" si="34"/>
        <v>0</v>
      </c>
      <c r="BP22" s="1475">
        <f t="shared" si="34"/>
        <v>0</v>
      </c>
      <c r="BQ22" s="1475">
        <f t="shared" si="34"/>
        <v>0</v>
      </c>
      <c r="BR22" s="1475">
        <f t="shared" si="34"/>
        <v>0</v>
      </c>
      <c r="BS22" s="1475">
        <f t="shared" si="34"/>
        <v>6300</v>
      </c>
      <c r="BT22" s="1476">
        <f t="shared" si="34"/>
        <v>6300</v>
      </c>
      <c r="BV22" s="1954" t="s">
        <v>2556</v>
      </c>
      <c r="BW22" s="1967"/>
      <c r="BX22" s="1475">
        <f>+BX17+BX21</f>
        <v>158000</v>
      </c>
      <c r="BY22" s="1475">
        <f t="shared" ref="BY22:CF22" si="35">+BY17+BY21</f>
        <v>0</v>
      </c>
      <c r="BZ22" s="1475">
        <f t="shared" si="35"/>
        <v>0</v>
      </c>
      <c r="CA22" s="1475">
        <f t="shared" si="35"/>
        <v>0</v>
      </c>
      <c r="CB22" s="1475">
        <f t="shared" si="35"/>
        <v>0</v>
      </c>
      <c r="CC22" s="1475">
        <f t="shared" si="35"/>
        <v>0</v>
      </c>
      <c r="CD22" s="1475">
        <f t="shared" si="35"/>
        <v>0</v>
      </c>
      <c r="CE22" s="1475">
        <f t="shared" si="35"/>
        <v>0</v>
      </c>
      <c r="CF22" s="1476">
        <f t="shared" si="35"/>
        <v>158000</v>
      </c>
    </row>
    <row r="23" spans="1:84" s="1477" customFormat="1" ht="21" customHeight="1">
      <c r="A23" s="1427" t="s">
        <v>2794</v>
      </c>
    </row>
    <row r="24" spans="1:84" s="1477" customFormat="1" ht="21" hidden="1" customHeight="1">
      <c r="A24" s="1427"/>
    </row>
    <row r="25" spans="1:84" s="1477" customFormat="1" ht="21" hidden="1" customHeight="1">
      <c r="B25" s="1477" t="s">
        <v>2557</v>
      </c>
      <c r="C25" s="1477">
        <f>+ROUND(P25/1000,0)+ROUND(AB25/1000,0)+ROUND(AN25/1000,0)+ROUND(AZ25/1000,0)+ROUND(BL25/1000,0)+ROUND(BX25/1000,0)</f>
        <v>0</v>
      </c>
      <c r="D25" s="1477">
        <f t="shared" ref="D25:J29" si="36">+ROUND(Q25/1000,0)+ROUND(AC25/1000,0)+ROUND(AO25/1000,0)+ROUND(BA25/1000,0)+ROUND(BM25/1000,0)+ROUND(BY25/1000,0)</f>
        <v>0</v>
      </c>
      <c r="E25" s="1477">
        <f t="shared" si="36"/>
        <v>0</v>
      </c>
      <c r="F25" s="1477">
        <f t="shared" si="36"/>
        <v>0</v>
      </c>
      <c r="G25" s="1477">
        <f t="shared" si="36"/>
        <v>0</v>
      </c>
      <c r="H25" s="1477">
        <f t="shared" si="36"/>
        <v>0</v>
      </c>
      <c r="I25" s="1477">
        <f t="shared" si="36"/>
        <v>0</v>
      </c>
      <c r="J25" s="1477">
        <f t="shared" si="36"/>
        <v>0</v>
      </c>
      <c r="K25" s="1477">
        <f>+J25+C25</f>
        <v>0</v>
      </c>
      <c r="W25" s="1477">
        <f>SUM(Q25:V25)</f>
        <v>0</v>
      </c>
      <c r="X25" s="1477">
        <f>+P25+W25</f>
        <v>0</v>
      </c>
      <c r="AI25" s="1477">
        <f>SUM(AC25:AH25)</f>
        <v>0</v>
      </c>
      <c r="AJ25" s="1477">
        <f>+AB25+AI25</f>
        <v>0</v>
      </c>
      <c r="AU25" s="1477">
        <f>SUM(AO25:AT25)</f>
        <v>0</v>
      </c>
      <c r="AV25" s="1477">
        <f>+AN25+AU25</f>
        <v>0</v>
      </c>
      <c r="BG25" s="1477">
        <f>SUM(BA25:BF25)</f>
        <v>0</v>
      </c>
      <c r="BH25" s="1477">
        <f>+AZ25+BG25</f>
        <v>0</v>
      </c>
    </row>
    <row r="26" spans="1:84" ht="21" hidden="1" customHeight="1">
      <c r="B26" s="1427" t="s">
        <v>2558</v>
      </c>
      <c r="C26" s="1427">
        <f t="shared" ref="C26:C29" si="37">+ROUND(P26/1000,0)+ROUND(AB26/1000,0)+ROUND(AN26/1000,0)+ROUND(AZ26/1000,0)+ROUND(BL26/1000,0)+ROUND(BX26/1000,0)</f>
        <v>0</v>
      </c>
      <c r="D26" s="1427">
        <f t="shared" si="36"/>
        <v>0</v>
      </c>
      <c r="E26" s="1427">
        <f t="shared" si="36"/>
        <v>0</v>
      </c>
      <c r="F26" s="1427">
        <f t="shared" si="36"/>
        <v>0</v>
      </c>
      <c r="G26" s="1427">
        <f t="shared" si="36"/>
        <v>0</v>
      </c>
      <c r="H26" s="1427">
        <f t="shared" si="36"/>
        <v>0</v>
      </c>
      <c r="I26" s="1427">
        <f t="shared" si="36"/>
        <v>190</v>
      </c>
      <c r="J26" s="1477">
        <f t="shared" si="36"/>
        <v>190</v>
      </c>
      <c r="K26" s="1478">
        <f>+J26+C26</f>
        <v>190</v>
      </c>
      <c r="V26" s="1479"/>
      <c r="W26" s="1427">
        <f>SUM(Q26:V26)</f>
        <v>0</v>
      </c>
      <c r="X26" s="1427">
        <f>+P26+W26</f>
        <v>0</v>
      </c>
      <c r="AI26" s="1427">
        <f>SUM(AC26:AH26)</f>
        <v>0</v>
      </c>
      <c r="AJ26" s="1427">
        <f>+AB26+AI26</f>
        <v>0</v>
      </c>
      <c r="AU26" s="1427">
        <f>SUM(AO26:AT26)</f>
        <v>0</v>
      </c>
      <c r="AV26" s="1427">
        <f>+AN26+AU26</f>
        <v>0</v>
      </c>
      <c r="BF26" s="1427">
        <v>189928</v>
      </c>
      <c r="BG26" s="1427">
        <f>SUM(BA26:BF26)</f>
        <v>189928</v>
      </c>
      <c r="BH26" s="1427">
        <f>+AZ26+BG26</f>
        <v>189928</v>
      </c>
    </row>
    <row r="27" spans="1:84" ht="21" hidden="1" customHeight="1">
      <c r="B27" s="1427" t="s">
        <v>2559</v>
      </c>
      <c r="C27" s="1427">
        <f t="shared" si="37"/>
        <v>77140</v>
      </c>
      <c r="D27" s="1427">
        <f t="shared" si="36"/>
        <v>15647</v>
      </c>
      <c r="E27" s="1427">
        <f t="shared" si="36"/>
        <v>0</v>
      </c>
      <c r="F27" s="1427">
        <f t="shared" si="36"/>
        <v>0</v>
      </c>
      <c r="G27" s="1427">
        <f t="shared" si="36"/>
        <v>0</v>
      </c>
      <c r="H27" s="1427">
        <f t="shared" si="36"/>
        <v>0</v>
      </c>
      <c r="I27" s="1427">
        <f t="shared" si="36"/>
        <v>4137</v>
      </c>
      <c r="J27" s="1480">
        <f t="shared" si="36"/>
        <v>19784</v>
      </c>
      <c r="K27" s="1477">
        <f>+J27+C27</f>
        <v>96924</v>
      </c>
      <c r="P27" s="1427">
        <f>37525000+(52820000-13205000)</f>
        <v>77140000</v>
      </c>
      <c r="Q27" s="1427">
        <f>2000000+442000+13205000</f>
        <v>15647000</v>
      </c>
      <c r="V27" s="1427">
        <v>4136574</v>
      </c>
      <c r="W27" s="1427">
        <f>SUM(Q27:V27)</f>
        <v>19783574</v>
      </c>
      <c r="X27" s="1427">
        <f>+P27+W27</f>
        <v>96923574</v>
      </c>
      <c r="AI27" s="1427">
        <f>SUM(AC27:AH27)</f>
        <v>0</v>
      </c>
      <c r="AJ27" s="1427">
        <f>+AB27+AI27</f>
        <v>0</v>
      </c>
      <c r="AU27" s="1427">
        <f>SUM(AO27:AT27)</f>
        <v>0</v>
      </c>
      <c r="AV27" s="1427">
        <f>+AN27+AU27</f>
        <v>0</v>
      </c>
      <c r="BG27" s="1427">
        <f>SUM(BA27:BF27)</f>
        <v>0</v>
      </c>
      <c r="BH27" s="1427">
        <f>+AZ27+BG27</f>
        <v>0</v>
      </c>
    </row>
    <row r="28" spans="1:84" ht="21" hidden="1" customHeight="1">
      <c r="B28" s="1427" t="s">
        <v>2560</v>
      </c>
      <c r="C28" s="1427">
        <f t="shared" si="37"/>
        <v>0</v>
      </c>
      <c r="D28" s="1427">
        <f t="shared" si="36"/>
        <v>0</v>
      </c>
      <c r="E28" s="1427">
        <f t="shared" si="36"/>
        <v>0</v>
      </c>
      <c r="F28" s="1427">
        <f t="shared" si="36"/>
        <v>0</v>
      </c>
      <c r="G28" s="1427">
        <f t="shared" si="36"/>
        <v>0</v>
      </c>
      <c r="H28" s="1427">
        <f t="shared" si="36"/>
        <v>0</v>
      </c>
      <c r="I28" s="1427">
        <f t="shared" si="36"/>
        <v>0</v>
      </c>
      <c r="J28" s="1477">
        <f t="shared" si="36"/>
        <v>0</v>
      </c>
      <c r="K28" s="1477">
        <f>+J28+C28</f>
        <v>0</v>
      </c>
      <c r="W28" s="1427">
        <f>SUM(Q28:V28)</f>
        <v>0</v>
      </c>
      <c r="X28" s="1427">
        <f>+P28+W28</f>
        <v>0</v>
      </c>
      <c r="AI28" s="1427">
        <f>SUM(AC28:AH28)</f>
        <v>0</v>
      </c>
      <c r="AJ28" s="1427">
        <f>+AB28+AI28</f>
        <v>0</v>
      </c>
      <c r="AU28" s="1427">
        <f>SUM(AO28:AT28)</f>
        <v>0</v>
      </c>
      <c r="AV28" s="1427">
        <f>+AN28+AU28</f>
        <v>0</v>
      </c>
      <c r="BG28" s="1427">
        <f>SUM(BA28:BF28)</f>
        <v>0</v>
      </c>
      <c r="BH28" s="1427">
        <f>+AZ28+BG28</f>
        <v>0</v>
      </c>
    </row>
    <row r="29" spans="1:84" ht="21" hidden="1" customHeight="1">
      <c r="B29" s="1427" t="s">
        <v>2561</v>
      </c>
      <c r="C29" s="1427">
        <f t="shared" si="37"/>
        <v>0</v>
      </c>
      <c r="D29" s="1427">
        <f t="shared" si="36"/>
        <v>0</v>
      </c>
      <c r="E29" s="1427">
        <f t="shared" si="36"/>
        <v>0</v>
      </c>
      <c r="F29" s="1427">
        <f t="shared" si="36"/>
        <v>0</v>
      </c>
      <c r="G29" s="1427">
        <f t="shared" si="36"/>
        <v>0</v>
      </c>
      <c r="H29" s="1427">
        <f t="shared" si="36"/>
        <v>0</v>
      </c>
      <c r="I29" s="1427">
        <f t="shared" si="36"/>
        <v>0</v>
      </c>
      <c r="J29" s="1477">
        <f t="shared" si="36"/>
        <v>0</v>
      </c>
      <c r="K29" s="1478">
        <f>+J29+C29</f>
        <v>0</v>
      </c>
      <c r="W29" s="1427">
        <f>SUM(Q29:V29)</f>
        <v>0</v>
      </c>
      <c r="X29" s="1427">
        <f>+P29+W29</f>
        <v>0</v>
      </c>
      <c r="AI29" s="1427">
        <f>SUM(AC29:AH29)</f>
        <v>0</v>
      </c>
      <c r="AJ29" s="1427">
        <f>+AB29+AI29</f>
        <v>0</v>
      </c>
      <c r="AU29" s="1427">
        <f>SUM(AO29:AT29)</f>
        <v>0</v>
      </c>
      <c r="AV29" s="1427">
        <f>+AN29+AU29</f>
        <v>0</v>
      </c>
      <c r="BG29" s="1427">
        <f>SUM(BA29:BF29)</f>
        <v>0</v>
      </c>
      <c r="BH29" s="1427">
        <f>+AZ29+BG29</f>
        <v>0</v>
      </c>
    </row>
    <row r="30" spans="1:84" ht="21" hidden="1" customHeight="1">
      <c r="C30" s="1427">
        <f>SUM(C25:C29)</f>
        <v>77140</v>
      </c>
      <c r="D30" s="1427">
        <f t="shared" ref="D30:J30" si="38">SUM(D25:D29)</f>
        <v>15647</v>
      </c>
      <c r="E30" s="1427">
        <f t="shared" si="38"/>
        <v>0</v>
      </c>
      <c r="F30" s="1427">
        <f t="shared" si="38"/>
        <v>0</v>
      </c>
      <c r="G30" s="1427">
        <f t="shared" si="38"/>
        <v>0</v>
      </c>
      <c r="H30" s="1427">
        <f t="shared" si="38"/>
        <v>0</v>
      </c>
      <c r="I30" s="1427">
        <f t="shared" si="38"/>
        <v>4327</v>
      </c>
      <c r="J30" s="1427">
        <f t="shared" si="38"/>
        <v>19974</v>
      </c>
      <c r="K30" s="1427">
        <f>SUM(K25:K29)</f>
        <v>97114</v>
      </c>
      <c r="P30" s="1427">
        <f t="shared" ref="P30:X30" si="39">SUM(P25:P29)</f>
        <v>77140000</v>
      </c>
      <c r="Q30" s="1427">
        <f t="shared" si="39"/>
        <v>15647000</v>
      </c>
      <c r="R30" s="1427">
        <f t="shared" si="39"/>
        <v>0</v>
      </c>
      <c r="S30" s="1427">
        <f t="shared" si="39"/>
        <v>0</v>
      </c>
      <c r="T30" s="1427">
        <f t="shared" si="39"/>
        <v>0</v>
      </c>
      <c r="U30" s="1427">
        <f t="shared" si="39"/>
        <v>0</v>
      </c>
      <c r="V30" s="1427">
        <f t="shared" si="39"/>
        <v>4136574</v>
      </c>
      <c r="W30" s="1427">
        <f t="shared" si="39"/>
        <v>19783574</v>
      </c>
      <c r="X30" s="1427">
        <f t="shared" si="39"/>
        <v>96923574</v>
      </c>
      <c r="AB30" s="1427">
        <f t="shared" ref="AB30:AJ30" si="40">SUM(AB25:AB29)</f>
        <v>0</v>
      </c>
      <c r="AC30" s="1427">
        <f t="shared" si="40"/>
        <v>0</v>
      </c>
      <c r="AD30" s="1427">
        <f t="shared" si="40"/>
        <v>0</v>
      </c>
      <c r="AE30" s="1427">
        <f t="shared" si="40"/>
        <v>0</v>
      </c>
      <c r="AF30" s="1427">
        <f t="shared" si="40"/>
        <v>0</v>
      </c>
      <c r="AG30" s="1427">
        <f t="shared" si="40"/>
        <v>0</v>
      </c>
      <c r="AH30" s="1427">
        <f t="shared" si="40"/>
        <v>0</v>
      </c>
      <c r="AI30" s="1427">
        <f t="shared" si="40"/>
        <v>0</v>
      </c>
      <c r="AJ30" s="1427">
        <f t="shared" si="40"/>
        <v>0</v>
      </c>
      <c r="AN30" s="1427">
        <f t="shared" ref="AN30:AV30" si="41">SUM(AN25:AN29)</f>
        <v>0</v>
      </c>
      <c r="AO30" s="1427">
        <f t="shared" si="41"/>
        <v>0</v>
      </c>
      <c r="AP30" s="1427">
        <f t="shared" si="41"/>
        <v>0</v>
      </c>
      <c r="AQ30" s="1427">
        <f t="shared" si="41"/>
        <v>0</v>
      </c>
      <c r="AR30" s="1427">
        <f t="shared" si="41"/>
        <v>0</v>
      </c>
      <c r="AS30" s="1427">
        <f t="shared" si="41"/>
        <v>0</v>
      </c>
      <c r="AT30" s="1427">
        <f t="shared" si="41"/>
        <v>0</v>
      </c>
      <c r="AU30" s="1427">
        <f t="shared" si="41"/>
        <v>0</v>
      </c>
      <c r="AV30" s="1427">
        <f t="shared" si="41"/>
        <v>0</v>
      </c>
      <c r="AZ30" s="1427">
        <f t="shared" ref="AZ30:BH30" si="42">SUM(AZ25:AZ29)</f>
        <v>0</v>
      </c>
      <c r="BA30" s="1427">
        <f t="shared" si="42"/>
        <v>0</v>
      </c>
      <c r="BB30" s="1427">
        <f t="shared" si="42"/>
        <v>0</v>
      </c>
      <c r="BC30" s="1427">
        <f t="shared" si="42"/>
        <v>0</v>
      </c>
      <c r="BD30" s="1427">
        <f t="shared" si="42"/>
        <v>0</v>
      </c>
      <c r="BE30" s="1427">
        <f t="shared" si="42"/>
        <v>0</v>
      </c>
      <c r="BF30" s="1427">
        <f t="shared" si="42"/>
        <v>189928</v>
      </c>
      <c r="BG30" s="1427">
        <f t="shared" si="42"/>
        <v>189928</v>
      </c>
      <c r="BH30" s="1427">
        <f t="shared" si="42"/>
        <v>189928</v>
      </c>
      <c r="BL30" s="1427">
        <f t="shared" ref="BL30:BT30" si="43">SUM(BL25:BL29)</f>
        <v>0</v>
      </c>
      <c r="BM30" s="1427">
        <f t="shared" si="43"/>
        <v>0</v>
      </c>
      <c r="BN30" s="1427">
        <f t="shared" si="43"/>
        <v>0</v>
      </c>
      <c r="BO30" s="1427">
        <f t="shared" si="43"/>
        <v>0</v>
      </c>
      <c r="BP30" s="1427">
        <f t="shared" si="43"/>
        <v>0</v>
      </c>
      <c r="BQ30" s="1427">
        <f t="shared" si="43"/>
        <v>0</v>
      </c>
      <c r="BR30" s="1427">
        <f t="shared" si="43"/>
        <v>0</v>
      </c>
      <c r="BS30" s="1427">
        <f t="shared" si="43"/>
        <v>0</v>
      </c>
      <c r="BT30" s="1427">
        <f t="shared" si="43"/>
        <v>0</v>
      </c>
      <c r="BX30" s="1427">
        <f t="shared" ref="BX30:CF30" si="44">SUM(BX25:BX29)</f>
        <v>0</v>
      </c>
      <c r="BY30" s="1427">
        <f t="shared" si="44"/>
        <v>0</v>
      </c>
      <c r="BZ30" s="1427">
        <f t="shared" si="44"/>
        <v>0</v>
      </c>
      <c r="CA30" s="1427">
        <f t="shared" si="44"/>
        <v>0</v>
      </c>
      <c r="CB30" s="1427">
        <f t="shared" si="44"/>
        <v>0</v>
      </c>
      <c r="CC30" s="1427">
        <f t="shared" si="44"/>
        <v>0</v>
      </c>
      <c r="CD30" s="1427">
        <f t="shared" si="44"/>
        <v>0</v>
      </c>
      <c r="CE30" s="1427">
        <f t="shared" si="44"/>
        <v>0</v>
      </c>
      <c r="CF30" s="1427">
        <f t="shared" si="44"/>
        <v>0</v>
      </c>
    </row>
    <row r="31" spans="1:84" ht="21" hidden="1" customHeight="1">
      <c r="B31" s="1427" t="s">
        <v>2562</v>
      </c>
      <c r="C31" s="1427">
        <f t="shared" ref="C31:K31" si="45">+C22-C30</f>
        <v>19656</v>
      </c>
      <c r="D31" s="1427">
        <f t="shared" si="45"/>
        <v>26393</v>
      </c>
      <c r="E31" s="1427">
        <f t="shared" si="45"/>
        <v>6801</v>
      </c>
      <c r="F31" s="1427">
        <f t="shared" si="45"/>
        <v>6647</v>
      </c>
      <c r="G31" s="1427">
        <f t="shared" si="45"/>
        <v>5446</v>
      </c>
      <c r="H31" s="1427">
        <f t="shared" si="45"/>
        <v>10443</v>
      </c>
      <c r="I31" s="1427">
        <f t="shared" si="45"/>
        <v>23407</v>
      </c>
      <c r="J31" s="1481">
        <f t="shared" si="45"/>
        <v>79139</v>
      </c>
      <c r="K31" s="1427">
        <f t="shared" si="45"/>
        <v>98795</v>
      </c>
      <c r="P31" s="1427">
        <f t="shared" ref="P31:X31" si="46">+P22-P30</f>
        <v>15220111</v>
      </c>
      <c r="Q31" s="1427">
        <f t="shared" si="46"/>
        <v>21156011</v>
      </c>
      <c r="R31" s="1427">
        <f t="shared" si="46"/>
        <v>3602449</v>
      </c>
      <c r="S31" s="1427">
        <f t="shared" si="46"/>
        <v>3457381</v>
      </c>
      <c r="T31" s="1427">
        <f t="shared" si="46"/>
        <v>4341125</v>
      </c>
      <c r="U31" s="1427">
        <f t="shared" si="46"/>
        <v>10334107</v>
      </c>
      <c r="V31" s="1427">
        <f t="shared" si="46"/>
        <v>21208395</v>
      </c>
      <c r="W31" s="1427">
        <f t="shared" si="46"/>
        <v>64099468</v>
      </c>
      <c r="X31" s="1427">
        <f t="shared" si="46"/>
        <v>79319579</v>
      </c>
      <c r="AB31" s="1427">
        <f t="shared" ref="AB31:AJ31" si="47">+AB22-AB30</f>
        <v>1205567</v>
      </c>
      <c r="AC31" s="1427">
        <f t="shared" si="47"/>
        <v>2873895</v>
      </c>
      <c r="AD31" s="1427">
        <f t="shared" si="47"/>
        <v>2105831</v>
      </c>
      <c r="AE31" s="1427">
        <f t="shared" si="47"/>
        <v>2426770</v>
      </c>
      <c r="AF31" s="1427">
        <f t="shared" si="47"/>
        <v>1104803</v>
      </c>
      <c r="AG31" s="1427">
        <f t="shared" si="47"/>
        <v>0</v>
      </c>
      <c r="AH31" s="1427">
        <f t="shared" si="47"/>
        <v>26063</v>
      </c>
      <c r="AI31" s="1427">
        <f t="shared" si="47"/>
        <v>8537362</v>
      </c>
      <c r="AJ31" s="1427">
        <f t="shared" si="47"/>
        <v>9742929</v>
      </c>
      <c r="AN31" s="1427">
        <f t="shared" ref="AN31:AV31" si="48">+AN22-AN30</f>
        <v>2805197</v>
      </c>
      <c r="AO31" s="1427">
        <f t="shared" si="48"/>
        <v>1906362</v>
      </c>
      <c r="AP31" s="1427">
        <f t="shared" si="48"/>
        <v>714579</v>
      </c>
      <c r="AQ31" s="1427">
        <f t="shared" si="48"/>
        <v>236337</v>
      </c>
      <c r="AR31" s="1427">
        <f t="shared" si="48"/>
        <v>0</v>
      </c>
      <c r="AS31" s="1427">
        <f t="shared" si="48"/>
        <v>108626</v>
      </c>
      <c r="AT31" s="1427">
        <f t="shared" si="48"/>
        <v>2171886</v>
      </c>
      <c r="AU31" s="1427">
        <f t="shared" si="48"/>
        <v>5137790</v>
      </c>
      <c r="AV31" s="1427">
        <f t="shared" si="48"/>
        <v>7942987</v>
      </c>
      <c r="AZ31" s="1427">
        <f t="shared" ref="AZ31:BH31" si="49">+AZ22-AZ30</f>
        <v>267496</v>
      </c>
      <c r="BA31" s="1427">
        <f t="shared" si="49"/>
        <v>457380</v>
      </c>
      <c r="BB31" s="1427">
        <f t="shared" si="49"/>
        <v>371619</v>
      </c>
      <c r="BC31" s="1427">
        <f t="shared" si="49"/>
        <v>527299</v>
      </c>
      <c r="BD31" s="1427">
        <f t="shared" si="49"/>
        <v>0</v>
      </c>
      <c r="BE31" s="1427">
        <f t="shared" si="49"/>
        <v>0</v>
      </c>
      <c r="BF31" s="1427">
        <f t="shared" si="49"/>
        <v>1340</v>
      </c>
      <c r="BG31" s="1427">
        <f t="shared" si="49"/>
        <v>1357638</v>
      </c>
      <c r="BH31" s="1427">
        <f t="shared" si="49"/>
        <v>1625134</v>
      </c>
      <c r="BL31" s="1427">
        <f t="shared" ref="BL31:BT31" si="50">+BL22-BL30</f>
        <v>0</v>
      </c>
      <c r="BM31" s="1427">
        <f t="shared" si="50"/>
        <v>0</v>
      </c>
      <c r="BN31" s="1427">
        <f t="shared" si="50"/>
        <v>6300</v>
      </c>
      <c r="BO31" s="1427">
        <f t="shared" si="50"/>
        <v>0</v>
      </c>
      <c r="BP31" s="1427">
        <f t="shared" si="50"/>
        <v>0</v>
      </c>
      <c r="BQ31" s="1427">
        <f t="shared" si="50"/>
        <v>0</v>
      </c>
      <c r="BR31" s="1427">
        <f t="shared" si="50"/>
        <v>0</v>
      </c>
      <c r="BS31" s="1427">
        <f t="shared" si="50"/>
        <v>6300</v>
      </c>
      <c r="BT31" s="1427">
        <f t="shared" si="50"/>
        <v>6300</v>
      </c>
      <c r="BX31" s="1427">
        <f t="shared" ref="BX31:CF31" si="51">+BX22-BX30</f>
        <v>158000</v>
      </c>
      <c r="BY31" s="1427">
        <f t="shared" si="51"/>
        <v>0</v>
      </c>
      <c r="BZ31" s="1427">
        <f t="shared" si="51"/>
        <v>0</v>
      </c>
      <c r="CA31" s="1427">
        <f t="shared" si="51"/>
        <v>0</v>
      </c>
      <c r="CB31" s="1427">
        <f t="shared" si="51"/>
        <v>0</v>
      </c>
      <c r="CC31" s="1427">
        <f t="shared" si="51"/>
        <v>0</v>
      </c>
      <c r="CD31" s="1427">
        <f t="shared" si="51"/>
        <v>0</v>
      </c>
      <c r="CE31" s="1427">
        <f t="shared" si="51"/>
        <v>0</v>
      </c>
      <c r="CF31" s="1427">
        <f t="shared" si="51"/>
        <v>158000</v>
      </c>
    </row>
    <row r="32" spans="1:84" ht="21" hidden="1" customHeight="1"/>
    <row r="33" spans="2:84" ht="21" hidden="1" customHeight="1">
      <c r="B33" s="1427" t="s">
        <v>2563</v>
      </c>
      <c r="C33" s="1427">
        <f t="shared" ref="C33:K35" si="52">+ROUND(P33/1000,0)+ROUND(AB33/1000,0)+ROUND(AN33/1000,0)+ROUND(AZ33/1000,0)+ROUND(BL33/1000,0)+ROUND(BX33/1000,0)</f>
        <v>82626</v>
      </c>
      <c r="D33" s="1427">
        <f t="shared" si="52"/>
        <v>42040</v>
      </c>
      <c r="E33" s="1427">
        <f t="shared" si="52"/>
        <v>6801</v>
      </c>
      <c r="F33" s="1427">
        <f t="shared" si="52"/>
        <v>6647</v>
      </c>
      <c r="G33" s="1427">
        <f t="shared" si="52"/>
        <v>5446</v>
      </c>
      <c r="H33" s="1427">
        <f t="shared" si="52"/>
        <v>10443</v>
      </c>
      <c r="I33" s="1427">
        <f t="shared" si="52"/>
        <v>27734</v>
      </c>
      <c r="J33" s="1427">
        <f t="shared" si="52"/>
        <v>99112</v>
      </c>
      <c r="K33" s="1427">
        <f t="shared" si="52"/>
        <v>181738</v>
      </c>
      <c r="L33" s="1427">
        <f>+K33-K26-K29</f>
        <v>181548</v>
      </c>
      <c r="M33" s="1427">
        <f>+L33-K28</f>
        <v>181548</v>
      </c>
      <c r="P33" s="1427">
        <f t="shared" ref="P33:V33" si="53">+P22-P34</f>
        <v>79904008</v>
      </c>
      <c r="Q33" s="1427">
        <f t="shared" si="53"/>
        <v>36803011</v>
      </c>
      <c r="R33" s="1427">
        <f t="shared" si="53"/>
        <v>3602449</v>
      </c>
      <c r="S33" s="1427">
        <f t="shared" si="53"/>
        <v>3457381</v>
      </c>
      <c r="T33" s="1427">
        <f t="shared" si="53"/>
        <v>4341125</v>
      </c>
      <c r="U33" s="1427">
        <f t="shared" si="53"/>
        <v>10334107</v>
      </c>
      <c r="V33" s="1427">
        <f t="shared" si="53"/>
        <v>25344969</v>
      </c>
      <c r="W33" s="1477">
        <f>SUM(Q33:V33)</f>
        <v>83883042</v>
      </c>
      <c r="X33" s="1477">
        <f>+P33+W33</f>
        <v>163787050</v>
      </c>
      <c r="AB33" s="1427">
        <f t="shared" ref="AB33:AH33" si="54">+AB22-AB34</f>
        <v>371824</v>
      </c>
      <c r="AC33" s="1427">
        <f t="shared" si="54"/>
        <v>2873895</v>
      </c>
      <c r="AD33" s="1427">
        <f t="shared" si="54"/>
        <v>2105831</v>
      </c>
      <c r="AE33" s="1427">
        <f t="shared" si="54"/>
        <v>2426770</v>
      </c>
      <c r="AF33" s="1427">
        <f t="shared" si="54"/>
        <v>1104803</v>
      </c>
      <c r="AG33" s="1427">
        <f t="shared" si="54"/>
        <v>0</v>
      </c>
      <c r="AH33" s="1427">
        <f t="shared" si="54"/>
        <v>26063</v>
      </c>
      <c r="AI33" s="1477">
        <f>SUM(AC33:AH33)</f>
        <v>8537362</v>
      </c>
      <c r="AJ33" s="1477">
        <f>+AB33+AI33</f>
        <v>8909186</v>
      </c>
      <c r="AN33" s="1427">
        <f t="shared" ref="AN33:AT33" si="55">+AN22-AN34</f>
        <v>2218000</v>
      </c>
      <c r="AO33" s="1427">
        <f t="shared" si="55"/>
        <v>1906362</v>
      </c>
      <c r="AP33" s="1427">
        <f t="shared" si="55"/>
        <v>714579</v>
      </c>
      <c r="AQ33" s="1427">
        <f t="shared" si="55"/>
        <v>236337</v>
      </c>
      <c r="AR33" s="1427">
        <f t="shared" si="55"/>
        <v>0</v>
      </c>
      <c r="AS33" s="1427">
        <f t="shared" si="55"/>
        <v>108626</v>
      </c>
      <c r="AT33" s="1427">
        <f t="shared" si="55"/>
        <v>2171886</v>
      </c>
      <c r="AU33" s="1477">
        <f>SUM(AO33:AT33)</f>
        <v>5137790</v>
      </c>
      <c r="AV33" s="1477">
        <f>+AN33+AU33</f>
        <v>7355790</v>
      </c>
      <c r="AZ33" s="1427">
        <f t="shared" ref="AZ33:BF33" si="56">+AZ22-AZ34</f>
        <v>0</v>
      </c>
      <c r="BA33" s="1427">
        <f t="shared" si="56"/>
        <v>457380</v>
      </c>
      <c r="BB33" s="1427">
        <f t="shared" si="56"/>
        <v>371619</v>
      </c>
      <c r="BC33" s="1427">
        <f t="shared" si="56"/>
        <v>527299</v>
      </c>
      <c r="BD33" s="1427">
        <f t="shared" si="56"/>
        <v>0</v>
      </c>
      <c r="BE33" s="1427">
        <f t="shared" si="56"/>
        <v>0</v>
      </c>
      <c r="BF33" s="1427">
        <f t="shared" si="56"/>
        <v>191268</v>
      </c>
      <c r="BG33" s="1477">
        <f>SUM(BA33:BF33)</f>
        <v>1547566</v>
      </c>
      <c r="BH33" s="1477">
        <f>+AZ33+BG33</f>
        <v>1547566</v>
      </c>
      <c r="BL33" s="1427">
        <f t="shared" ref="BL33:BR33" si="57">+BL22-BL34</f>
        <v>0</v>
      </c>
      <c r="BM33" s="1427">
        <f t="shared" si="57"/>
        <v>0</v>
      </c>
      <c r="BN33" s="1427">
        <f t="shared" si="57"/>
        <v>6300</v>
      </c>
      <c r="BO33" s="1427">
        <f t="shared" si="57"/>
        <v>0</v>
      </c>
      <c r="BP33" s="1427">
        <f t="shared" si="57"/>
        <v>0</v>
      </c>
      <c r="BQ33" s="1427">
        <f t="shared" si="57"/>
        <v>0</v>
      </c>
      <c r="BR33" s="1427">
        <f t="shared" si="57"/>
        <v>0</v>
      </c>
      <c r="BS33" s="1477">
        <f>SUM(BM33:BR33)</f>
        <v>6300</v>
      </c>
      <c r="BT33" s="1477">
        <f>+BL33+BS33</f>
        <v>6300</v>
      </c>
      <c r="BX33" s="1427">
        <f t="shared" ref="BX33:CD33" si="58">+BX22-BX34</f>
        <v>131600</v>
      </c>
      <c r="BY33" s="1427">
        <f t="shared" si="58"/>
        <v>0</v>
      </c>
      <c r="BZ33" s="1427">
        <f t="shared" si="58"/>
        <v>0</v>
      </c>
      <c r="CA33" s="1427">
        <f t="shared" si="58"/>
        <v>0</v>
      </c>
      <c r="CB33" s="1427">
        <f t="shared" si="58"/>
        <v>0</v>
      </c>
      <c r="CC33" s="1427">
        <f t="shared" si="58"/>
        <v>0</v>
      </c>
      <c r="CD33" s="1427">
        <f t="shared" si="58"/>
        <v>0</v>
      </c>
      <c r="CE33" s="1477">
        <f>SUM(BY33:CD33)</f>
        <v>0</v>
      </c>
      <c r="CF33" s="1477">
        <f>+BX33+CE33</f>
        <v>131600</v>
      </c>
    </row>
    <row r="34" spans="2:84" ht="21" hidden="1" customHeight="1">
      <c r="B34" s="1427" t="s">
        <v>2564</v>
      </c>
      <c r="C34" s="1427">
        <f t="shared" si="52"/>
        <v>14170</v>
      </c>
      <c r="D34" s="1427">
        <f t="shared" si="52"/>
        <v>0</v>
      </c>
      <c r="E34" s="1427">
        <f t="shared" si="52"/>
        <v>0</v>
      </c>
      <c r="F34" s="1427">
        <f t="shared" si="52"/>
        <v>0</v>
      </c>
      <c r="G34" s="1427">
        <f t="shared" si="52"/>
        <v>0</v>
      </c>
      <c r="H34" s="1427">
        <f t="shared" si="52"/>
        <v>0</v>
      </c>
      <c r="I34" s="1427">
        <f t="shared" si="52"/>
        <v>0</v>
      </c>
      <c r="J34" s="1427">
        <f t="shared" si="52"/>
        <v>0</v>
      </c>
      <c r="K34" s="1427">
        <f t="shared" si="52"/>
        <v>14170</v>
      </c>
      <c r="P34" s="1427">
        <f>570000+9169243+735964+1980896</f>
        <v>12456103</v>
      </c>
      <c r="W34" s="1477">
        <f>SUM(Q34:V34)</f>
        <v>0</v>
      </c>
      <c r="X34" s="1477">
        <f>+P34+W34</f>
        <v>12456103</v>
      </c>
      <c r="AB34" s="1427">
        <f>336000+497743</f>
        <v>833743</v>
      </c>
      <c r="AH34" s="1479"/>
      <c r="AI34" s="1477">
        <f>SUM(AC34:AH34)</f>
        <v>0</v>
      </c>
      <c r="AJ34" s="1477">
        <f>+AB34+AI34</f>
        <v>833743</v>
      </c>
      <c r="AN34" s="1427">
        <v>587197</v>
      </c>
      <c r="AU34" s="1477">
        <f>SUM(AO34:AT34)</f>
        <v>0</v>
      </c>
      <c r="AV34" s="1477">
        <f>+AN34+AU34</f>
        <v>587197</v>
      </c>
      <c r="AZ34" s="1427">
        <v>267496</v>
      </c>
      <c r="BG34" s="1477">
        <f>SUM(BA34:BF34)</f>
        <v>0</v>
      </c>
      <c r="BH34" s="1477">
        <f>+AZ34+BG34</f>
        <v>267496</v>
      </c>
      <c r="BS34" s="1477">
        <f>SUM(BM34:BR34)</f>
        <v>0</v>
      </c>
      <c r="BT34" s="1477">
        <f>+BL34+BS34</f>
        <v>0</v>
      </c>
      <c r="BX34" s="1427">
        <v>26400</v>
      </c>
      <c r="CE34" s="1477">
        <f>SUM(BY34:CD34)</f>
        <v>0</v>
      </c>
      <c r="CF34" s="1477">
        <f>+BX34+CE34</f>
        <v>26400</v>
      </c>
    </row>
    <row r="35" spans="2:84" ht="21" hidden="1" customHeight="1">
      <c r="B35" s="1427" t="s">
        <v>2564</v>
      </c>
      <c r="C35" s="1427">
        <f t="shared" si="52"/>
        <v>0</v>
      </c>
      <c r="D35" s="1427">
        <f t="shared" si="52"/>
        <v>0</v>
      </c>
      <c r="E35" s="1427">
        <f t="shared" si="52"/>
        <v>0</v>
      </c>
      <c r="F35" s="1427">
        <f t="shared" si="52"/>
        <v>0</v>
      </c>
      <c r="G35" s="1427">
        <f t="shared" si="52"/>
        <v>0</v>
      </c>
      <c r="H35" s="1427">
        <f t="shared" si="52"/>
        <v>0</v>
      </c>
      <c r="I35" s="1427">
        <f t="shared" si="52"/>
        <v>0</v>
      </c>
      <c r="J35" s="1427">
        <f t="shared" si="52"/>
        <v>0</v>
      </c>
      <c r="K35" s="1427">
        <f t="shared" si="52"/>
        <v>0</v>
      </c>
      <c r="W35" s="1477">
        <f>SUM(Q35:V35)</f>
        <v>0</v>
      </c>
      <c r="X35" s="1477">
        <f>+P35+W35</f>
        <v>0</v>
      </c>
      <c r="AH35" s="1479"/>
      <c r="AI35" s="1477">
        <f>SUM(AC35:AH35)</f>
        <v>0</v>
      </c>
      <c r="AJ35" s="1477">
        <f>+AB35+AI35</f>
        <v>0</v>
      </c>
      <c r="AU35" s="1477">
        <f>SUM(AO35:AT35)</f>
        <v>0</v>
      </c>
      <c r="AV35" s="1477">
        <f>+AN35+AU35</f>
        <v>0</v>
      </c>
      <c r="BG35" s="1477">
        <f>SUM(BA35:BF35)</f>
        <v>0</v>
      </c>
      <c r="BH35" s="1477">
        <f>+AZ35+BG35</f>
        <v>0</v>
      </c>
      <c r="BS35" s="1477">
        <f>SUM(BM35:BR35)</f>
        <v>0</v>
      </c>
      <c r="BT35" s="1477">
        <f>+BL35+BS35</f>
        <v>0</v>
      </c>
      <c r="CE35" s="1477">
        <f>SUM(BY35:CD35)</f>
        <v>0</v>
      </c>
      <c r="CF35" s="1477">
        <f>+BX35+CE35</f>
        <v>0</v>
      </c>
    </row>
    <row r="36" spans="2:84" ht="21" hidden="1" customHeight="1"/>
    <row r="37" spans="2:84" ht="21" hidden="1" customHeight="1">
      <c r="J37" s="1427">
        <f>+J17-J26-J29</f>
        <v>98923</v>
      </c>
    </row>
    <row r="38" spans="2:84" ht="21" hidden="1" customHeight="1"/>
  </sheetData>
  <mergeCells count="73">
    <mergeCell ref="BV22:BW22"/>
    <mergeCell ref="A22:B22"/>
    <mergeCell ref="N22:O22"/>
    <mergeCell ref="Z22:AA22"/>
    <mergeCell ref="AL22:AM22"/>
    <mergeCell ref="AX22:AY22"/>
    <mergeCell ref="BJ22:BK22"/>
    <mergeCell ref="BV18:CF18"/>
    <mergeCell ref="A21:B21"/>
    <mergeCell ref="N21:O21"/>
    <mergeCell ref="Z21:AA21"/>
    <mergeCell ref="AL21:AM21"/>
    <mergeCell ref="AX21:AY21"/>
    <mergeCell ref="BJ21:BK21"/>
    <mergeCell ref="BV21:BW21"/>
    <mergeCell ref="A18:K18"/>
    <mergeCell ref="N18:X18"/>
    <mergeCell ref="Z18:AJ18"/>
    <mergeCell ref="AL18:AV18"/>
    <mergeCell ref="AX18:BH18"/>
    <mergeCell ref="BJ18:BT18"/>
    <mergeCell ref="BV9:CF9"/>
    <mergeCell ref="A17:B17"/>
    <mergeCell ref="N17:O17"/>
    <mergeCell ref="Z17:AA17"/>
    <mergeCell ref="AL17:AM17"/>
    <mergeCell ref="AX17:AY17"/>
    <mergeCell ref="BJ17:BK17"/>
    <mergeCell ref="BV17:BW17"/>
    <mergeCell ref="A9:K9"/>
    <mergeCell ref="N9:X9"/>
    <mergeCell ref="Z9:AJ9"/>
    <mergeCell ref="AL9:AV9"/>
    <mergeCell ref="AX9:BH9"/>
    <mergeCell ref="BJ9:BT9"/>
    <mergeCell ref="CF6:CF7"/>
    <mergeCell ref="BA6:BG6"/>
    <mergeCell ref="BH6:BH7"/>
    <mergeCell ref="BJ6:BJ7"/>
    <mergeCell ref="BK6:BK7"/>
    <mergeCell ref="BL6:BL7"/>
    <mergeCell ref="BM6:BS6"/>
    <mergeCell ref="BT6:BT7"/>
    <mergeCell ref="BV6:BV7"/>
    <mergeCell ref="BW6:BW7"/>
    <mergeCell ref="BX6:BX7"/>
    <mergeCell ref="BY6:CE6"/>
    <mergeCell ref="AZ6:AZ7"/>
    <mergeCell ref="AA6:AA7"/>
    <mergeCell ref="AB6:AB7"/>
    <mergeCell ref="AC6:AI6"/>
    <mergeCell ref="AJ6:AJ7"/>
    <mergeCell ref="AL6:AL7"/>
    <mergeCell ref="AM6:AM7"/>
    <mergeCell ref="AN6:AN7"/>
    <mergeCell ref="AO6:AU6"/>
    <mergeCell ref="AV6:AV7"/>
    <mergeCell ref="AX6:AX7"/>
    <mergeCell ref="AY6:AY7"/>
    <mergeCell ref="Z6:Z7"/>
    <mergeCell ref="J1:K1"/>
    <mergeCell ref="A3:K3"/>
    <mergeCell ref="A4:K4"/>
    <mergeCell ref="A6:A7"/>
    <mergeCell ref="B6:B7"/>
    <mergeCell ref="C6:C7"/>
    <mergeCell ref="D6:J6"/>
    <mergeCell ref="K6:K7"/>
    <mergeCell ref="N6:N7"/>
    <mergeCell ref="O6:O7"/>
    <mergeCell ref="P6:P7"/>
    <mergeCell ref="Q6:W6"/>
    <mergeCell ref="X6:X7"/>
  </mergeCells>
  <conditionalFormatting sqref="C10:I16 C19:I20">
    <cfRule type="cellIs" dxfId="0" priority="3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9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M26"/>
  <sheetViews>
    <sheetView zoomScaleNormal="100" workbookViewId="0"/>
  </sheetViews>
  <sheetFormatPr defaultRowHeight="12.75"/>
  <cols>
    <col min="1" max="1" width="6" style="1486" bestFit="1" customWidth="1"/>
    <col min="2" max="2" width="30.5703125" style="1486" bestFit="1" customWidth="1"/>
    <col min="3" max="3" width="26.85546875" style="1486" customWidth="1"/>
    <col min="4" max="5" width="13.7109375" style="1486" customWidth="1"/>
    <col min="6" max="6" width="12" style="1486" customWidth="1"/>
    <col min="7" max="7" width="12" style="1487" customWidth="1"/>
    <col min="8" max="8" width="12" style="1486" customWidth="1"/>
    <col min="9" max="9" width="12" style="1488" customWidth="1"/>
    <col min="10" max="10" width="12" style="1487" customWidth="1"/>
    <col min="11" max="11" width="12" style="1486" customWidth="1"/>
    <col min="12" max="12" width="10.28515625" style="1486" customWidth="1"/>
    <col min="13" max="256" width="9.140625" style="1486"/>
    <col min="257" max="257" width="6" style="1486" bestFit="1" customWidth="1"/>
    <col min="258" max="258" width="30.5703125" style="1486" bestFit="1" customWidth="1"/>
    <col min="259" max="259" width="26.85546875" style="1486" customWidth="1"/>
    <col min="260" max="261" width="13.7109375" style="1486" customWidth="1"/>
    <col min="262" max="267" width="12" style="1486" customWidth="1"/>
    <col min="268" max="268" width="10.28515625" style="1486" customWidth="1"/>
    <col min="269" max="512" width="9.140625" style="1486"/>
    <col min="513" max="513" width="6" style="1486" bestFit="1" customWidth="1"/>
    <col min="514" max="514" width="30.5703125" style="1486" bestFit="1" customWidth="1"/>
    <col min="515" max="515" width="26.85546875" style="1486" customWidth="1"/>
    <col min="516" max="517" width="13.7109375" style="1486" customWidth="1"/>
    <col min="518" max="523" width="12" style="1486" customWidth="1"/>
    <col min="524" max="524" width="10.28515625" style="1486" customWidth="1"/>
    <col min="525" max="768" width="9.140625" style="1486"/>
    <col min="769" max="769" width="6" style="1486" bestFit="1" customWidth="1"/>
    <col min="770" max="770" width="30.5703125" style="1486" bestFit="1" customWidth="1"/>
    <col min="771" max="771" width="26.85546875" style="1486" customWidth="1"/>
    <col min="772" max="773" width="13.7109375" style="1486" customWidth="1"/>
    <col min="774" max="779" width="12" style="1486" customWidth="1"/>
    <col min="780" max="780" width="10.28515625" style="1486" customWidth="1"/>
    <col min="781" max="1024" width="9.140625" style="1486"/>
    <col min="1025" max="1025" width="6" style="1486" bestFit="1" customWidth="1"/>
    <col min="1026" max="1026" width="30.5703125" style="1486" bestFit="1" customWidth="1"/>
    <col min="1027" max="1027" width="26.85546875" style="1486" customWidth="1"/>
    <col min="1028" max="1029" width="13.7109375" style="1486" customWidth="1"/>
    <col min="1030" max="1035" width="12" style="1486" customWidth="1"/>
    <col min="1036" max="1036" width="10.28515625" style="1486" customWidth="1"/>
    <col min="1037" max="1280" width="9.140625" style="1486"/>
    <col min="1281" max="1281" width="6" style="1486" bestFit="1" customWidth="1"/>
    <col min="1282" max="1282" width="30.5703125" style="1486" bestFit="1" customWidth="1"/>
    <col min="1283" max="1283" width="26.85546875" style="1486" customWidth="1"/>
    <col min="1284" max="1285" width="13.7109375" style="1486" customWidth="1"/>
    <col min="1286" max="1291" width="12" style="1486" customWidth="1"/>
    <col min="1292" max="1292" width="10.28515625" style="1486" customWidth="1"/>
    <col min="1293" max="1536" width="9.140625" style="1486"/>
    <col min="1537" max="1537" width="6" style="1486" bestFit="1" customWidth="1"/>
    <col min="1538" max="1538" width="30.5703125" style="1486" bestFit="1" customWidth="1"/>
    <col min="1539" max="1539" width="26.85546875" style="1486" customWidth="1"/>
    <col min="1540" max="1541" width="13.7109375" style="1486" customWidth="1"/>
    <col min="1542" max="1547" width="12" style="1486" customWidth="1"/>
    <col min="1548" max="1548" width="10.28515625" style="1486" customWidth="1"/>
    <col min="1549" max="1792" width="9.140625" style="1486"/>
    <col min="1793" max="1793" width="6" style="1486" bestFit="1" customWidth="1"/>
    <col min="1794" max="1794" width="30.5703125" style="1486" bestFit="1" customWidth="1"/>
    <col min="1795" max="1795" width="26.85546875" style="1486" customWidth="1"/>
    <col min="1796" max="1797" width="13.7109375" style="1486" customWidth="1"/>
    <col min="1798" max="1803" width="12" style="1486" customWidth="1"/>
    <col min="1804" max="1804" width="10.28515625" style="1486" customWidth="1"/>
    <col min="1805" max="2048" width="9.140625" style="1486"/>
    <col min="2049" max="2049" width="6" style="1486" bestFit="1" customWidth="1"/>
    <col min="2050" max="2050" width="30.5703125" style="1486" bestFit="1" customWidth="1"/>
    <col min="2051" max="2051" width="26.85546875" style="1486" customWidth="1"/>
    <col min="2052" max="2053" width="13.7109375" style="1486" customWidth="1"/>
    <col min="2054" max="2059" width="12" style="1486" customWidth="1"/>
    <col min="2060" max="2060" width="10.28515625" style="1486" customWidth="1"/>
    <col min="2061" max="2304" width="9.140625" style="1486"/>
    <col min="2305" max="2305" width="6" style="1486" bestFit="1" customWidth="1"/>
    <col min="2306" max="2306" width="30.5703125" style="1486" bestFit="1" customWidth="1"/>
    <col min="2307" max="2307" width="26.85546875" style="1486" customWidth="1"/>
    <col min="2308" max="2309" width="13.7109375" style="1486" customWidth="1"/>
    <col min="2310" max="2315" width="12" style="1486" customWidth="1"/>
    <col min="2316" max="2316" width="10.28515625" style="1486" customWidth="1"/>
    <col min="2317" max="2560" width="9.140625" style="1486"/>
    <col min="2561" max="2561" width="6" style="1486" bestFit="1" customWidth="1"/>
    <col min="2562" max="2562" width="30.5703125" style="1486" bestFit="1" customWidth="1"/>
    <col min="2563" max="2563" width="26.85546875" style="1486" customWidth="1"/>
    <col min="2564" max="2565" width="13.7109375" style="1486" customWidth="1"/>
    <col min="2566" max="2571" width="12" style="1486" customWidth="1"/>
    <col min="2572" max="2572" width="10.28515625" style="1486" customWidth="1"/>
    <col min="2573" max="2816" width="9.140625" style="1486"/>
    <col min="2817" max="2817" width="6" style="1486" bestFit="1" customWidth="1"/>
    <col min="2818" max="2818" width="30.5703125" style="1486" bestFit="1" customWidth="1"/>
    <col min="2819" max="2819" width="26.85546875" style="1486" customWidth="1"/>
    <col min="2820" max="2821" width="13.7109375" style="1486" customWidth="1"/>
    <col min="2822" max="2827" width="12" style="1486" customWidth="1"/>
    <col min="2828" max="2828" width="10.28515625" style="1486" customWidth="1"/>
    <col min="2829" max="3072" width="9.140625" style="1486"/>
    <col min="3073" max="3073" width="6" style="1486" bestFit="1" customWidth="1"/>
    <col min="3074" max="3074" width="30.5703125" style="1486" bestFit="1" customWidth="1"/>
    <col min="3075" max="3075" width="26.85546875" style="1486" customWidth="1"/>
    <col min="3076" max="3077" width="13.7109375" style="1486" customWidth="1"/>
    <col min="3078" max="3083" width="12" style="1486" customWidth="1"/>
    <col min="3084" max="3084" width="10.28515625" style="1486" customWidth="1"/>
    <col min="3085" max="3328" width="9.140625" style="1486"/>
    <col min="3329" max="3329" width="6" style="1486" bestFit="1" customWidth="1"/>
    <col min="3330" max="3330" width="30.5703125" style="1486" bestFit="1" customWidth="1"/>
    <col min="3331" max="3331" width="26.85546875" style="1486" customWidth="1"/>
    <col min="3332" max="3333" width="13.7109375" style="1486" customWidth="1"/>
    <col min="3334" max="3339" width="12" style="1486" customWidth="1"/>
    <col min="3340" max="3340" width="10.28515625" style="1486" customWidth="1"/>
    <col min="3341" max="3584" width="9.140625" style="1486"/>
    <col min="3585" max="3585" width="6" style="1486" bestFit="1" customWidth="1"/>
    <col min="3586" max="3586" width="30.5703125" style="1486" bestFit="1" customWidth="1"/>
    <col min="3587" max="3587" width="26.85546875" style="1486" customWidth="1"/>
    <col min="3588" max="3589" width="13.7109375" style="1486" customWidth="1"/>
    <col min="3590" max="3595" width="12" style="1486" customWidth="1"/>
    <col min="3596" max="3596" width="10.28515625" style="1486" customWidth="1"/>
    <col min="3597" max="3840" width="9.140625" style="1486"/>
    <col min="3841" max="3841" width="6" style="1486" bestFit="1" customWidth="1"/>
    <col min="3842" max="3842" width="30.5703125" style="1486" bestFit="1" customWidth="1"/>
    <col min="3843" max="3843" width="26.85546875" style="1486" customWidth="1"/>
    <col min="3844" max="3845" width="13.7109375" style="1486" customWidth="1"/>
    <col min="3846" max="3851" width="12" style="1486" customWidth="1"/>
    <col min="3852" max="3852" width="10.28515625" style="1486" customWidth="1"/>
    <col min="3853" max="4096" width="9.140625" style="1486"/>
    <col min="4097" max="4097" width="6" style="1486" bestFit="1" customWidth="1"/>
    <col min="4098" max="4098" width="30.5703125" style="1486" bestFit="1" customWidth="1"/>
    <col min="4099" max="4099" width="26.85546875" style="1486" customWidth="1"/>
    <col min="4100" max="4101" width="13.7109375" style="1486" customWidth="1"/>
    <col min="4102" max="4107" width="12" style="1486" customWidth="1"/>
    <col min="4108" max="4108" width="10.28515625" style="1486" customWidth="1"/>
    <col min="4109" max="4352" width="9.140625" style="1486"/>
    <col min="4353" max="4353" width="6" style="1486" bestFit="1" customWidth="1"/>
    <col min="4354" max="4354" width="30.5703125" style="1486" bestFit="1" customWidth="1"/>
    <col min="4355" max="4355" width="26.85546875" style="1486" customWidth="1"/>
    <col min="4356" max="4357" width="13.7109375" style="1486" customWidth="1"/>
    <col min="4358" max="4363" width="12" style="1486" customWidth="1"/>
    <col min="4364" max="4364" width="10.28515625" style="1486" customWidth="1"/>
    <col min="4365" max="4608" width="9.140625" style="1486"/>
    <col min="4609" max="4609" width="6" style="1486" bestFit="1" customWidth="1"/>
    <col min="4610" max="4610" width="30.5703125" style="1486" bestFit="1" customWidth="1"/>
    <col min="4611" max="4611" width="26.85546875" style="1486" customWidth="1"/>
    <col min="4612" max="4613" width="13.7109375" style="1486" customWidth="1"/>
    <col min="4614" max="4619" width="12" style="1486" customWidth="1"/>
    <col min="4620" max="4620" width="10.28515625" style="1486" customWidth="1"/>
    <col min="4621" max="4864" width="9.140625" style="1486"/>
    <col min="4865" max="4865" width="6" style="1486" bestFit="1" customWidth="1"/>
    <col min="4866" max="4866" width="30.5703125" style="1486" bestFit="1" customWidth="1"/>
    <col min="4867" max="4867" width="26.85546875" style="1486" customWidth="1"/>
    <col min="4868" max="4869" width="13.7109375" style="1486" customWidth="1"/>
    <col min="4870" max="4875" width="12" style="1486" customWidth="1"/>
    <col min="4876" max="4876" width="10.28515625" style="1486" customWidth="1"/>
    <col min="4877" max="5120" width="9.140625" style="1486"/>
    <col min="5121" max="5121" width="6" style="1486" bestFit="1" customWidth="1"/>
    <col min="5122" max="5122" width="30.5703125" style="1486" bestFit="1" customWidth="1"/>
    <col min="5123" max="5123" width="26.85546875" style="1486" customWidth="1"/>
    <col min="5124" max="5125" width="13.7109375" style="1486" customWidth="1"/>
    <col min="5126" max="5131" width="12" style="1486" customWidth="1"/>
    <col min="5132" max="5132" width="10.28515625" style="1486" customWidth="1"/>
    <col min="5133" max="5376" width="9.140625" style="1486"/>
    <col min="5377" max="5377" width="6" style="1486" bestFit="1" customWidth="1"/>
    <col min="5378" max="5378" width="30.5703125" style="1486" bestFit="1" customWidth="1"/>
    <col min="5379" max="5379" width="26.85546875" style="1486" customWidth="1"/>
    <col min="5380" max="5381" width="13.7109375" style="1486" customWidth="1"/>
    <col min="5382" max="5387" width="12" style="1486" customWidth="1"/>
    <col min="5388" max="5388" width="10.28515625" style="1486" customWidth="1"/>
    <col min="5389" max="5632" width="9.140625" style="1486"/>
    <col min="5633" max="5633" width="6" style="1486" bestFit="1" customWidth="1"/>
    <col min="5634" max="5634" width="30.5703125" style="1486" bestFit="1" customWidth="1"/>
    <col min="5635" max="5635" width="26.85546875" style="1486" customWidth="1"/>
    <col min="5636" max="5637" width="13.7109375" style="1486" customWidth="1"/>
    <col min="5638" max="5643" width="12" style="1486" customWidth="1"/>
    <col min="5644" max="5644" width="10.28515625" style="1486" customWidth="1"/>
    <col min="5645" max="5888" width="9.140625" style="1486"/>
    <col min="5889" max="5889" width="6" style="1486" bestFit="1" customWidth="1"/>
    <col min="5890" max="5890" width="30.5703125" style="1486" bestFit="1" customWidth="1"/>
    <col min="5891" max="5891" width="26.85546875" style="1486" customWidth="1"/>
    <col min="5892" max="5893" width="13.7109375" style="1486" customWidth="1"/>
    <col min="5894" max="5899" width="12" style="1486" customWidth="1"/>
    <col min="5900" max="5900" width="10.28515625" style="1486" customWidth="1"/>
    <col min="5901" max="6144" width="9.140625" style="1486"/>
    <col min="6145" max="6145" width="6" style="1486" bestFit="1" customWidth="1"/>
    <col min="6146" max="6146" width="30.5703125" style="1486" bestFit="1" customWidth="1"/>
    <col min="6147" max="6147" width="26.85546875" style="1486" customWidth="1"/>
    <col min="6148" max="6149" width="13.7109375" style="1486" customWidth="1"/>
    <col min="6150" max="6155" width="12" style="1486" customWidth="1"/>
    <col min="6156" max="6156" width="10.28515625" style="1486" customWidth="1"/>
    <col min="6157" max="6400" width="9.140625" style="1486"/>
    <col min="6401" max="6401" width="6" style="1486" bestFit="1" customWidth="1"/>
    <col min="6402" max="6402" width="30.5703125" style="1486" bestFit="1" customWidth="1"/>
    <col min="6403" max="6403" width="26.85546875" style="1486" customWidth="1"/>
    <col min="6404" max="6405" width="13.7109375" style="1486" customWidth="1"/>
    <col min="6406" max="6411" width="12" style="1486" customWidth="1"/>
    <col min="6412" max="6412" width="10.28515625" style="1486" customWidth="1"/>
    <col min="6413" max="6656" width="9.140625" style="1486"/>
    <col min="6657" max="6657" width="6" style="1486" bestFit="1" customWidth="1"/>
    <col min="6658" max="6658" width="30.5703125" style="1486" bestFit="1" customWidth="1"/>
    <col min="6659" max="6659" width="26.85546875" style="1486" customWidth="1"/>
    <col min="6660" max="6661" width="13.7109375" style="1486" customWidth="1"/>
    <col min="6662" max="6667" width="12" style="1486" customWidth="1"/>
    <col min="6668" max="6668" width="10.28515625" style="1486" customWidth="1"/>
    <col min="6669" max="6912" width="9.140625" style="1486"/>
    <col min="6913" max="6913" width="6" style="1486" bestFit="1" customWidth="1"/>
    <col min="6914" max="6914" width="30.5703125" style="1486" bestFit="1" customWidth="1"/>
    <col min="6915" max="6915" width="26.85546875" style="1486" customWidth="1"/>
    <col min="6916" max="6917" width="13.7109375" style="1486" customWidth="1"/>
    <col min="6918" max="6923" width="12" style="1486" customWidth="1"/>
    <col min="6924" max="6924" width="10.28515625" style="1486" customWidth="1"/>
    <col min="6925" max="7168" width="9.140625" style="1486"/>
    <col min="7169" max="7169" width="6" style="1486" bestFit="1" customWidth="1"/>
    <col min="7170" max="7170" width="30.5703125" style="1486" bestFit="1" customWidth="1"/>
    <col min="7171" max="7171" width="26.85546875" style="1486" customWidth="1"/>
    <col min="7172" max="7173" width="13.7109375" style="1486" customWidth="1"/>
    <col min="7174" max="7179" width="12" style="1486" customWidth="1"/>
    <col min="7180" max="7180" width="10.28515625" style="1486" customWidth="1"/>
    <col min="7181" max="7424" width="9.140625" style="1486"/>
    <col min="7425" max="7425" width="6" style="1486" bestFit="1" customWidth="1"/>
    <col min="7426" max="7426" width="30.5703125" style="1486" bestFit="1" customWidth="1"/>
    <col min="7427" max="7427" width="26.85546875" style="1486" customWidth="1"/>
    <col min="7428" max="7429" width="13.7109375" style="1486" customWidth="1"/>
    <col min="7430" max="7435" width="12" style="1486" customWidth="1"/>
    <col min="7436" max="7436" width="10.28515625" style="1486" customWidth="1"/>
    <col min="7437" max="7680" width="9.140625" style="1486"/>
    <col min="7681" max="7681" width="6" style="1486" bestFit="1" customWidth="1"/>
    <col min="7682" max="7682" width="30.5703125" style="1486" bestFit="1" customWidth="1"/>
    <col min="7683" max="7683" width="26.85546875" style="1486" customWidth="1"/>
    <col min="7684" max="7685" width="13.7109375" style="1486" customWidth="1"/>
    <col min="7686" max="7691" width="12" style="1486" customWidth="1"/>
    <col min="7692" max="7692" width="10.28515625" style="1486" customWidth="1"/>
    <col min="7693" max="7936" width="9.140625" style="1486"/>
    <col min="7937" max="7937" width="6" style="1486" bestFit="1" customWidth="1"/>
    <col min="7938" max="7938" width="30.5703125" style="1486" bestFit="1" customWidth="1"/>
    <col min="7939" max="7939" width="26.85546875" style="1486" customWidth="1"/>
    <col min="7940" max="7941" width="13.7109375" style="1486" customWidth="1"/>
    <col min="7942" max="7947" width="12" style="1486" customWidth="1"/>
    <col min="7948" max="7948" width="10.28515625" style="1486" customWidth="1"/>
    <col min="7949" max="8192" width="9.140625" style="1486"/>
    <col min="8193" max="8193" width="6" style="1486" bestFit="1" customWidth="1"/>
    <col min="8194" max="8194" width="30.5703125" style="1486" bestFit="1" customWidth="1"/>
    <col min="8195" max="8195" width="26.85546875" style="1486" customWidth="1"/>
    <col min="8196" max="8197" width="13.7109375" style="1486" customWidth="1"/>
    <col min="8198" max="8203" width="12" style="1486" customWidth="1"/>
    <col min="8204" max="8204" width="10.28515625" style="1486" customWidth="1"/>
    <col min="8205" max="8448" width="9.140625" style="1486"/>
    <col min="8449" max="8449" width="6" style="1486" bestFit="1" customWidth="1"/>
    <col min="8450" max="8450" width="30.5703125" style="1486" bestFit="1" customWidth="1"/>
    <col min="8451" max="8451" width="26.85546875" style="1486" customWidth="1"/>
    <col min="8452" max="8453" width="13.7109375" style="1486" customWidth="1"/>
    <col min="8454" max="8459" width="12" style="1486" customWidth="1"/>
    <col min="8460" max="8460" width="10.28515625" style="1486" customWidth="1"/>
    <col min="8461" max="8704" width="9.140625" style="1486"/>
    <col min="8705" max="8705" width="6" style="1486" bestFit="1" customWidth="1"/>
    <col min="8706" max="8706" width="30.5703125" style="1486" bestFit="1" customWidth="1"/>
    <col min="8707" max="8707" width="26.85546875" style="1486" customWidth="1"/>
    <col min="8708" max="8709" width="13.7109375" style="1486" customWidth="1"/>
    <col min="8710" max="8715" width="12" style="1486" customWidth="1"/>
    <col min="8716" max="8716" width="10.28515625" style="1486" customWidth="1"/>
    <col min="8717" max="8960" width="9.140625" style="1486"/>
    <col min="8961" max="8961" width="6" style="1486" bestFit="1" customWidth="1"/>
    <col min="8962" max="8962" width="30.5703125" style="1486" bestFit="1" customWidth="1"/>
    <col min="8963" max="8963" width="26.85546875" style="1486" customWidth="1"/>
    <col min="8964" max="8965" width="13.7109375" style="1486" customWidth="1"/>
    <col min="8966" max="8971" width="12" style="1486" customWidth="1"/>
    <col min="8972" max="8972" width="10.28515625" style="1486" customWidth="1"/>
    <col min="8973" max="9216" width="9.140625" style="1486"/>
    <col min="9217" max="9217" width="6" style="1486" bestFit="1" customWidth="1"/>
    <col min="9218" max="9218" width="30.5703125" style="1486" bestFit="1" customWidth="1"/>
    <col min="9219" max="9219" width="26.85546875" style="1486" customWidth="1"/>
    <col min="9220" max="9221" width="13.7109375" style="1486" customWidth="1"/>
    <col min="9222" max="9227" width="12" style="1486" customWidth="1"/>
    <col min="9228" max="9228" width="10.28515625" style="1486" customWidth="1"/>
    <col min="9229" max="9472" width="9.140625" style="1486"/>
    <col min="9473" max="9473" width="6" style="1486" bestFit="1" customWidth="1"/>
    <col min="9474" max="9474" width="30.5703125" style="1486" bestFit="1" customWidth="1"/>
    <col min="9475" max="9475" width="26.85546875" style="1486" customWidth="1"/>
    <col min="9476" max="9477" width="13.7109375" style="1486" customWidth="1"/>
    <col min="9478" max="9483" width="12" style="1486" customWidth="1"/>
    <col min="9484" max="9484" width="10.28515625" style="1486" customWidth="1"/>
    <col min="9485" max="9728" width="9.140625" style="1486"/>
    <col min="9729" max="9729" width="6" style="1486" bestFit="1" customWidth="1"/>
    <col min="9730" max="9730" width="30.5703125" style="1486" bestFit="1" customWidth="1"/>
    <col min="9731" max="9731" width="26.85546875" style="1486" customWidth="1"/>
    <col min="9732" max="9733" width="13.7109375" style="1486" customWidth="1"/>
    <col min="9734" max="9739" width="12" style="1486" customWidth="1"/>
    <col min="9740" max="9740" width="10.28515625" style="1486" customWidth="1"/>
    <col min="9741" max="9984" width="9.140625" style="1486"/>
    <col min="9985" max="9985" width="6" style="1486" bestFit="1" customWidth="1"/>
    <col min="9986" max="9986" width="30.5703125" style="1486" bestFit="1" customWidth="1"/>
    <col min="9987" max="9987" width="26.85546875" style="1486" customWidth="1"/>
    <col min="9988" max="9989" width="13.7109375" style="1486" customWidth="1"/>
    <col min="9990" max="9995" width="12" style="1486" customWidth="1"/>
    <col min="9996" max="9996" width="10.28515625" style="1486" customWidth="1"/>
    <col min="9997" max="10240" width="9.140625" style="1486"/>
    <col min="10241" max="10241" width="6" style="1486" bestFit="1" customWidth="1"/>
    <col min="10242" max="10242" width="30.5703125" style="1486" bestFit="1" customWidth="1"/>
    <col min="10243" max="10243" width="26.85546875" style="1486" customWidth="1"/>
    <col min="10244" max="10245" width="13.7109375" style="1486" customWidth="1"/>
    <col min="10246" max="10251" width="12" style="1486" customWidth="1"/>
    <col min="10252" max="10252" width="10.28515625" style="1486" customWidth="1"/>
    <col min="10253" max="10496" width="9.140625" style="1486"/>
    <col min="10497" max="10497" width="6" style="1486" bestFit="1" customWidth="1"/>
    <col min="10498" max="10498" width="30.5703125" style="1486" bestFit="1" customWidth="1"/>
    <col min="10499" max="10499" width="26.85546875" style="1486" customWidth="1"/>
    <col min="10500" max="10501" width="13.7109375" style="1486" customWidth="1"/>
    <col min="10502" max="10507" width="12" style="1486" customWidth="1"/>
    <col min="10508" max="10508" width="10.28515625" style="1486" customWidth="1"/>
    <col min="10509" max="10752" width="9.140625" style="1486"/>
    <col min="10753" max="10753" width="6" style="1486" bestFit="1" customWidth="1"/>
    <col min="10754" max="10754" width="30.5703125" style="1486" bestFit="1" customWidth="1"/>
    <col min="10755" max="10755" width="26.85546875" style="1486" customWidth="1"/>
    <col min="10756" max="10757" width="13.7109375" style="1486" customWidth="1"/>
    <col min="10758" max="10763" width="12" style="1486" customWidth="1"/>
    <col min="10764" max="10764" width="10.28515625" style="1486" customWidth="1"/>
    <col min="10765" max="11008" width="9.140625" style="1486"/>
    <col min="11009" max="11009" width="6" style="1486" bestFit="1" customWidth="1"/>
    <col min="11010" max="11010" width="30.5703125" style="1486" bestFit="1" customWidth="1"/>
    <col min="11011" max="11011" width="26.85546875" style="1486" customWidth="1"/>
    <col min="11012" max="11013" width="13.7109375" style="1486" customWidth="1"/>
    <col min="11014" max="11019" width="12" style="1486" customWidth="1"/>
    <col min="11020" max="11020" width="10.28515625" style="1486" customWidth="1"/>
    <col min="11021" max="11264" width="9.140625" style="1486"/>
    <col min="11265" max="11265" width="6" style="1486" bestFit="1" customWidth="1"/>
    <col min="11266" max="11266" width="30.5703125" style="1486" bestFit="1" customWidth="1"/>
    <col min="11267" max="11267" width="26.85546875" style="1486" customWidth="1"/>
    <col min="11268" max="11269" width="13.7109375" style="1486" customWidth="1"/>
    <col min="11270" max="11275" width="12" style="1486" customWidth="1"/>
    <col min="11276" max="11276" width="10.28515625" style="1486" customWidth="1"/>
    <col min="11277" max="11520" width="9.140625" style="1486"/>
    <col min="11521" max="11521" width="6" style="1486" bestFit="1" customWidth="1"/>
    <col min="11522" max="11522" width="30.5703125" style="1486" bestFit="1" customWidth="1"/>
    <col min="11523" max="11523" width="26.85546875" style="1486" customWidth="1"/>
    <col min="11524" max="11525" width="13.7109375" style="1486" customWidth="1"/>
    <col min="11526" max="11531" width="12" style="1486" customWidth="1"/>
    <col min="11532" max="11532" width="10.28515625" style="1486" customWidth="1"/>
    <col min="11533" max="11776" width="9.140625" style="1486"/>
    <col min="11777" max="11777" width="6" style="1486" bestFit="1" customWidth="1"/>
    <col min="11778" max="11778" width="30.5703125" style="1486" bestFit="1" customWidth="1"/>
    <col min="11779" max="11779" width="26.85546875" style="1486" customWidth="1"/>
    <col min="11780" max="11781" width="13.7109375" style="1486" customWidth="1"/>
    <col min="11782" max="11787" width="12" style="1486" customWidth="1"/>
    <col min="11788" max="11788" width="10.28515625" style="1486" customWidth="1"/>
    <col min="11789" max="12032" width="9.140625" style="1486"/>
    <col min="12033" max="12033" width="6" style="1486" bestFit="1" customWidth="1"/>
    <col min="12034" max="12034" width="30.5703125" style="1486" bestFit="1" customWidth="1"/>
    <col min="12035" max="12035" width="26.85546875" style="1486" customWidth="1"/>
    <col min="12036" max="12037" width="13.7109375" style="1486" customWidth="1"/>
    <col min="12038" max="12043" width="12" style="1486" customWidth="1"/>
    <col min="12044" max="12044" width="10.28515625" style="1486" customWidth="1"/>
    <col min="12045" max="12288" width="9.140625" style="1486"/>
    <col min="12289" max="12289" width="6" style="1486" bestFit="1" customWidth="1"/>
    <col min="12290" max="12290" width="30.5703125" style="1486" bestFit="1" customWidth="1"/>
    <col min="12291" max="12291" width="26.85546875" style="1486" customWidth="1"/>
    <col min="12292" max="12293" width="13.7109375" style="1486" customWidth="1"/>
    <col min="12294" max="12299" width="12" style="1486" customWidth="1"/>
    <col min="12300" max="12300" width="10.28515625" style="1486" customWidth="1"/>
    <col min="12301" max="12544" width="9.140625" style="1486"/>
    <col min="12545" max="12545" width="6" style="1486" bestFit="1" customWidth="1"/>
    <col min="12546" max="12546" width="30.5703125" style="1486" bestFit="1" customWidth="1"/>
    <col min="12547" max="12547" width="26.85546875" style="1486" customWidth="1"/>
    <col min="12548" max="12549" width="13.7109375" style="1486" customWidth="1"/>
    <col min="12550" max="12555" width="12" style="1486" customWidth="1"/>
    <col min="12556" max="12556" width="10.28515625" style="1486" customWidth="1"/>
    <col min="12557" max="12800" width="9.140625" style="1486"/>
    <col min="12801" max="12801" width="6" style="1486" bestFit="1" customWidth="1"/>
    <col min="12802" max="12802" width="30.5703125" style="1486" bestFit="1" customWidth="1"/>
    <col min="12803" max="12803" width="26.85546875" style="1486" customWidth="1"/>
    <col min="12804" max="12805" width="13.7109375" style="1486" customWidth="1"/>
    <col min="12806" max="12811" width="12" style="1486" customWidth="1"/>
    <col min="12812" max="12812" width="10.28515625" style="1486" customWidth="1"/>
    <col min="12813" max="13056" width="9.140625" style="1486"/>
    <col min="13057" max="13057" width="6" style="1486" bestFit="1" customWidth="1"/>
    <col min="13058" max="13058" width="30.5703125" style="1486" bestFit="1" customWidth="1"/>
    <col min="13059" max="13059" width="26.85546875" style="1486" customWidth="1"/>
    <col min="13060" max="13061" width="13.7109375" style="1486" customWidth="1"/>
    <col min="13062" max="13067" width="12" style="1486" customWidth="1"/>
    <col min="13068" max="13068" width="10.28515625" style="1486" customWidth="1"/>
    <col min="13069" max="13312" width="9.140625" style="1486"/>
    <col min="13313" max="13313" width="6" style="1486" bestFit="1" customWidth="1"/>
    <col min="13314" max="13314" width="30.5703125" style="1486" bestFit="1" customWidth="1"/>
    <col min="13315" max="13315" width="26.85546875" style="1486" customWidth="1"/>
    <col min="13316" max="13317" width="13.7109375" style="1486" customWidth="1"/>
    <col min="13318" max="13323" width="12" style="1486" customWidth="1"/>
    <col min="13324" max="13324" width="10.28515625" style="1486" customWidth="1"/>
    <col min="13325" max="13568" width="9.140625" style="1486"/>
    <col min="13569" max="13569" width="6" style="1486" bestFit="1" customWidth="1"/>
    <col min="13570" max="13570" width="30.5703125" style="1486" bestFit="1" customWidth="1"/>
    <col min="13571" max="13571" width="26.85546875" style="1486" customWidth="1"/>
    <col min="13572" max="13573" width="13.7109375" style="1486" customWidth="1"/>
    <col min="13574" max="13579" width="12" style="1486" customWidth="1"/>
    <col min="13580" max="13580" width="10.28515625" style="1486" customWidth="1"/>
    <col min="13581" max="13824" width="9.140625" style="1486"/>
    <col min="13825" max="13825" width="6" style="1486" bestFit="1" customWidth="1"/>
    <col min="13826" max="13826" width="30.5703125" style="1486" bestFit="1" customWidth="1"/>
    <col min="13827" max="13827" width="26.85546875" style="1486" customWidth="1"/>
    <col min="13828" max="13829" width="13.7109375" style="1486" customWidth="1"/>
    <col min="13830" max="13835" width="12" style="1486" customWidth="1"/>
    <col min="13836" max="13836" width="10.28515625" style="1486" customWidth="1"/>
    <col min="13837" max="14080" width="9.140625" style="1486"/>
    <col min="14081" max="14081" width="6" style="1486" bestFit="1" customWidth="1"/>
    <col min="14082" max="14082" width="30.5703125" style="1486" bestFit="1" customWidth="1"/>
    <col min="14083" max="14083" width="26.85546875" style="1486" customWidth="1"/>
    <col min="14084" max="14085" width="13.7109375" style="1486" customWidth="1"/>
    <col min="14086" max="14091" width="12" style="1486" customWidth="1"/>
    <col min="14092" max="14092" width="10.28515625" style="1486" customWidth="1"/>
    <col min="14093" max="14336" width="9.140625" style="1486"/>
    <col min="14337" max="14337" width="6" style="1486" bestFit="1" customWidth="1"/>
    <col min="14338" max="14338" width="30.5703125" style="1486" bestFit="1" customWidth="1"/>
    <col min="14339" max="14339" width="26.85546875" style="1486" customWidth="1"/>
    <col min="14340" max="14341" width="13.7109375" style="1486" customWidth="1"/>
    <col min="14342" max="14347" width="12" style="1486" customWidth="1"/>
    <col min="14348" max="14348" width="10.28515625" style="1486" customWidth="1"/>
    <col min="14349" max="14592" width="9.140625" style="1486"/>
    <col min="14593" max="14593" width="6" style="1486" bestFit="1" customWidth="1"/>
    <col min="14594" max="14594" width="30.5703125" style="1486" bestFit="1" customWidth="1"/>
    <col min="14595" max="14595" width="26.85546875" style="1486" customWidth="1"/>
    <col min="14596" max="14597" width="13.7109375" style="1486" customWidth="1"/>
    <col min="14598" max="14603" width="12" style="1486" customWidth="1"/>
    <col min="14604" max="14604" width="10.28515625" style="1486" customWidth="1"/>
    <col min="14605" max="14848" width="9.140625" style="1486"/>
    <col min="14849" max="14849" width="6" style="1486" bestFit="1" customWidth="1"/>
    <col min="14850" max="14850" width="30.5703125" style="1486" bestFit="1" customWidth="1"/>
    <col min="14851" max="14851" width="26.85546875" style="1486" customWidth="1"/>
    <col min="14852" max="14853" width="13.7109375" style="1486" customWidth="1"/>
    <col min="14854" max="14859" width="12" style="1486" customWidth="1"/>
    <col min="14860" max="14860" width="10.28515625" style="1486" customWidth="1"/>
    <col min="14861" max="15104" width="9.140625" style="1486"/>
    <col min="15105" max="15105" width="6" style="1486" bestFit="1" customWidth="1"/>
    <col min="15106" max="15106" width="30.5703125" style="1486" bestFit="1" customWidth="1"/>
    <col min="15107" max="15107" width="26.85546875" style="1486" customWidth="1"/>
    <col min="15108" max="15109" width="13.7109375" style="1486" customWidth="1"/>
    <col min="15110" max="15115" width="12" style="1486" customWidth="1"/>
    <col min="15116" max="15116" width="10.28515625" style="1486" customWidth="1"/>
    <col min="15117" max="15360" width="9.140625" style="1486"/>
    <col min="15361" max="15361" width="6" style="1486" bestFit="1" customWidth="1"/>
    <col min="15362" max="15362" width="30.5703125" style="1486" bestFit="1" customWidth="1"/>
    <col min="15363" max="15363" width="26.85546875" style="1486" customWidth="1"/>
    <col min="15364" max="15365" width="13.7109375" style="1486" customWidth="1"/>
    <col min="15366" max="15371" width="12" style="1486" customWidth="1"/>
    <col min="15372" max="15372" width="10.28515625" style="1486" customWidth="1"/>
    <col min="15373" max="15616" width="9.140625" style="1486"/>
    <col min="15617" max="15617" width="6" style="1486" bestFit="1" customWidth="1"/>
    <col min="15618" max="15618" width="30.5703125" style="1486" bestFit="1" customWidth="1"/>
    <col min="15619" max="15619" width="26.85546875" style="1486" customWidth="1"/>
    <col min="15620" max="15621" width="13.7109375" style="1486" customWidth="1"/>
    <col min="15622" max="15627" width="12" style="1486" customWidth="1"/>
    <col min="15628" max="15628" width="10.28515625" style="1486" customWidth="1"/>
    <col min="15629" max="15872" width="9.140625" style="1486"/>
    <col min="15873" max="15873" width="6" style="1486" bestFit="1" customWidth="1"/>
    <col min="15874" max="15874" width="30.5703125" style="1486" bestFit="1" customWidth="1"/>
    <col min="15875" max="15875" width="26.85546875" style="1486" customWidth="1"/>
    <col min="15876" max="15877" width="13.7109375" style="1486" customWidth="1"/>
    <col min="15878" max="15883" width="12" style="1486" customWidth="1"/>
    <col min="15884" max="15884" width="10.28515625" style="1486" customWidth="1"/>
    <col min="15885" max="16128" width="9.140625" style="1486"/>
    <col min="16129" max="16129" width="6" style="1486" bestFit="1" customWidth="1"/>
    <col min="16130" max="16130" width="30.5703125" style="1486" bestFit="1" customWidth="1"/>
    <col min="16131" max="16131" width="26.85546875" style="1486" customWidth="1"/>
    <col min="16132" max="16133" width="13.7109375" style="1486" customWidth="1"/>
    <col min="16134" max="16139" width="12" style="1486" customWidth="1"/>
    <col min="16140" max="16140" width="10.28515625" style="1486" customWidth="1"/>
    <col min="16141" max="16384" width="9.140625" style="1486"/>
  </cols>
  <sheetData>
    <row r="1" spans="1:12" s="1482" customFormat="1" ht="15.75">
      <c r="G1" s="1483"/>
      <c r="I1" s="1484"/>
      <c r="J1" s="1934" t="s">
        <v>1585</v>
      </c>
      <c r="K1" s="1934"/>
    </row>
    <row r="2" spans="1:12" s="1482" customFormat="1" ht="15.75">
      <c r="G2" s="1483"/>
      <c r="I2" s="1484"/>
      <c r="J2" s="1483"/>
    </row>
    <row r="3" spans="1:12" s="1482" customFormat="1" ht="15.75">
      <c r="A3" s="1968" t="s">
        <v>2565</v>
      </c>
      <c r="B3" s="1968"/>
      <c r="C3" s="1968"/>
      <c r="D3" s="1968"/>
      <c r="E3" s="1968"/>
      <c r="F3" s="1968"/>
      <c r="G3" s="1968"/>
      <c r="H3" s="1968"/>
      <c r="I3" s="1968"/>
      <c r="J3" s="1968"/>
      <c r="K3" s="1968"/>
      <c r="L3" s="1485"/>
    </row>
    <row r="4" spans="1:12" s="1482" customFormat="1" ht="15.75">
      <c r="A4" s="1969">
        <v>43830</v>
      </c>
      <c r="B4" s="1970"/>
      <c r="C4" s="1970"/>
      <c r="D4" s="1970"/>
      <c r="E4" s="1970"/>
      <c r="F4" s="1970"/>
      <c r="G4" s="1970"/>
      <c r="H4" s="1970"/>
      <c r="I4" s="1970"/>
      <c r="J4" s="1970"/>
      <c r="K4" s="1970"/>
    </row>
    <row r="6" spans="1:12" ht="14.25" thickBot="1">
      <c r="K6" s="1489" t="s">
        <v>561</v>
      </c>
    </row>
    <row r="7" spans="1:12" ht="12.75" customHeight="1">
      <c r="A7" s="1971" t="s">
        <v>2566</v>
      </c>
      <c r="B7" s="1974" t="s">
        <v>2567</v>
      </c>
      <c r="C7" s="1974" t="s">
        <v>2568</v>
      </c>
      <c r="D7" s="1974" t="s">
        <v>2569</v>
      </c>
      <c r="E7" s="1974" t="s">
        <v>2570</v>
      </c>
      <c r="F7" s="1977" t="s">
        <v>2571</v>
      </c>
      <c r="G7" s="1980" t="s">
        <v>2572</v>
      </c>
      <c r="H7" s="1983" t="s">
        <v>460</v>
      </c>
      <c r="I7" s="1983"/>
      <c r="J7" s="1980" t="s">
        <v>2662</v>
      </c>
      <c r="K7" s="1980" t="s">
        <v>2663</v>
      </c>
    </row>
    <row r="8" spans="1:12" ht="12.75" customHeight="1">
      <c r="A8" s="1972"/>
      <c r="B8" s="1975"/>
      <c r="C8" s="1975"/>
      <c r="D8" s="1975"/>
      <c r="E8" s="1975"/>
      <c r="F8" s="1978"/>
      <c r="G8" s="1981"/>
      <c r="H8" s="1984" t="s">
        <v>2573</v>
      </c>
      <c r="I8" s="1985" t="s">
        <v>2574</v>
      </c>
      <c r="J8" s="1981"/>
      <c r="K8" s="1981"/>
    </row>
    <row r="9" spans="1:12" ht="12.75" customHeight="1">
      <c r="A9" s="1972"/>
      <c r="B9" s="1975"/>
      <c r="C9" s="1975"/>
      <c r="D9" s="1975"/>
      <c r="E9" s="1975"/>
      <c r="F9" s="1978"/>
      <c r="G9" s="1981"/>
      <c r="H9" s="1975"/>
      <c r="I9" s="1986"/>
      <c r="J9" s="1981"/>
      <c r="K9" s="1981"/>
    </row>
    <row r="10" spans="1:12" ht="13.5" thickBot="1">
      <c r="A10" s="1973"/>
      <c r="B10" s="1976"/>
      <c r="C10" s="1976"/>
      <c r="D10" s="1976"/>
      <c r="E10" s="1976"/>
      <c r="F10" s="1979"/>
      <c r="G10" s="1982"/>
      <c r="H10" s="1976"/>
      <c r="I10" s="1987"/>
      <c r="J10" s="1982"/>
      <c r="K10" s="1982"/>
    </row>
    <row r="11" spans="1:12">
      <c r="A11" s="1490" t="s">
        <v>4</v>
      </c>
      <c r="B11" s="1491" t="s">
        <v>19</v>
      </c>
      <c r="C11" s="1491" t="s">
        <v>19</v>
      </c>
      <c r="D11" s="1492"/>
      <c r="E11" s="1492"/>
      <c r="F11" s="1383"/>
      <c r="G11" s="1391"/>
      <c r="H11" s="1384"/>
      <c r="I11" s="1493"/>
      <c r="J11" s="1391">
        <f>+G11-H11</f>
        <v>0</v>
      </c>
      <c r="K11" s="1385"/>
    </row>
    <row r="12" spans="1:12" ht="13.5" thickBot="1">
      <c r="A12" s="1490"/>
      <c r="B12" s="1491"/>
      <c r="C12" s="1494"/>
      <c r="D12" s="1492"/>
      <c r="E12" s="1492"/>
      <c r="F12" s="1383"/>
      <c r="G12" s="1391"/>
      <c r="H12" s="1384"/>
      <c r="I12" s="1493"/>
      <c r="J12" s="1391"/>
      <c r="K12" s="1385"/>
    </row>
    <row r="13" spans="1:12" ht="14.25" thickBot="1">
      <c r="A13" s="1495"/>
      <c r="B13" s="1496" t="s">
        <v>2575</v>
      </c>
      <c r="C13" s="1497" t="s">
        <v>19</v>
      </c>
      <c r="D13" s="1498" t="s">
        <v>19</v>
      </c>
      <c r="E13" s="1498" t="s">
        <v>19</v>
      </c>
      <c r="F13" s="1499">
        <f t="shared" ref="F13:K13" si="0">SUM(F11:F12)</f>
        <v>0</v>
      </c>
      <c r="G13" s="1424">
        <f t="shared" si="0"/>
        <v>0</v>
      </c>
      <c r="H13" s="1422">
        <f t="shared" si="0"/>
        <v>0</v>
      </c>
      <c r="I13" s="1500">
        <f t="shared" si="0"/>
        <v>0</v>
      </c>
      <c r="J13" s="1424">
        <f t="shared" si="0"/>
        <v>0</v>
      </c>
      <c r="K13" s="1424">
        <f t="shared" si="0"/>
        <v>0</v>
      </c>
    </row>
    <row r="14" spans="1:12">
      <c r="A14" s="1490" t="s">
        <v>5</v>
      </c>
      <c r="B14" s="1491" t="s">
        <v>19</v>
      </c>
      <c r="C14" s="1501" t="s">
        <v>19</v>
      </c>
      <c r="D14" s="1502"/>
      <c r="E14" s="1502"/>
      <c r="F14" s="1383"/>
      <c r="G14" s="1391">
        <f>+F14</f>
        <v>0</v>
      </c>
      <c r="H14" s="1503"/>
      <c r="I14" s="1504"/>
      <c r="J14" s="1391">
        <f>+G14-H14</f>
        <v>0</v>
      </c>
      <c r="K14" s="1385"/>
    </row>
    <row r="15" spans="1:12" ht="13.5" thickBot="1">
      <c r="A15" s="1490"/>
      <c r="B15" s="1491"/>
      <c r="C15" s="1501"/>
      <c r="D15" s="1492"/>
      <c r="E15" s="1492"/>
      <c r="F15" s="1383"/>
      <c r="G15" s="1391"/>
      <c r="H15" s="1503"/>
      <c r="I15" s="1504"/>
      <c r="J15" s="1391"/>
      <c r="K15" s="1385"/>
    </row>
    <row r="16" spans="1:12" ht="14.25" thickBot="1">
      <c r="A16" s="1495"/>
      <c r="B16" s="1496" t="s">
        <v>2576</v>
      </c>
      <c r="C16" s="1497" t="s">
        <v>19</v>
      </c>
      <c r="D16" s="1498" t="s">
        <v>19</v>
      </c>
      <c r="E16" s="1498" t="s">
        <v>19</v>
      </c>
      <c r="F16" s="1499">
        <f t="shared" ref="F16:K16" si="1">SUM(F14:F15)</f>
        <v>0</v>
      </c>
      <c r="G16" s="1424">
        <f t="shared" si="1"/>
        <v>0</v>
      </c>
      <c r="H16" s="1422">
        <f t="shared" si="1"/>
        <v>0</v>
      </c>
      <c r="I16" s="1500">
        <f t="shared" si="1"/>
        <v>0</v>
      </c>
      <c r="J16" s="1424">
        <f t="shared" si="1"/>
        <v>0</v>
      </c>
      <c r="K16" s="1424">
        <f t="shared" si="1"/>
        <v>0</v>
      </c>
    </row>
    <row r="17" spans="1:13" ht="13.5" thickBot="1">
      <c r="A17" s="1505"/>
      <c r="B17" s="1506"/>
      <c r="C17" s="1506"/>
      <c r="D17" s="1507"/>
      <c r="E17" s="1507"/>
      <c r="F17" s="1508"/>
      <c r="G17" s="1509"/>
      <c r="H17" s="1510"/>
      <c r="I17" s="1511"/>
      <c r="J17" s="1391"/>
      <c r="K17" s="1385"/>
    </row>
    <row r="18" spans="1:13" ht="14.25" thickBot="1">
      <c r="A18" s="1495"/>
      <c r="B18" s="1496" t="s">
        <v>18</v>
      </c>
      <c r="C18" s="1497" t="s">
        <v>19</v>
      </c>
      <c r="D18" s="1498" t="s">
        <v>19</v>
      </c>
      <c r="E18" s="1498" t="s">
        <v>19</v>
      </c>
      <c r="F18" s="1499">
        <f t="shared" ref="F18:K18" si="2">+F13+F16</f>
        <v>0</v>
      </c>
      <c r="G18" s="1424">
        <f t="shared" si="2"/>
        <v>0</v>
      </c>
      <c r="H18" s="1422">
        <f t="shared" si="2"/>
        <v>0</v>
      </c>
      <c r="I18" s="1500">
        <f t="shared" si="2"/>
        <v>0</v>
      </c>
      <c r="J18" s="1424">
        <f t="shared" si="2"/>
        <v>0</v>
      </c>
      <c r="K18" s="1424">
        <f t="shared" si="2"/>
        <v>0</v>
      </c>
    </row>
    <row r="23" spans="1:13">
      <c r="C23" s="1512"/>
    </row>
    <row r="25" spans="1:13" ht="13.5">
      <c r="D25" s="1512"/>
      <c r="E25" s="1512"/>
      <c r="F25" s="1512"/>
      <c r="G25" s="1512"/>
      <c r="H25" s="1512"/>
      <c r="I25" s="1513"/>
      <c r="J25" s="1512"/>
      <c r="K25" s="1512"/>
      <c r="L25" s="1512"/>
      <c r="M25" s="1512"/>
    </row>
    <row r="26" spans="1:13">
      <c r="C26" s="1514"/>
      <c r="D26" s="1514"/>
      <c r="E26" s="1514"/>
      <c r="F26" s="1514"/>
      <c r="G26" s="1512"/>
      <c r="H26" s="1514"/>
      <c r="I26" s="1515"/>
      <c r="J26" s="1512"/>
      <c r="K26" s="1514"/>
      <c r="L26" s="1514"/>
      <c r="M26" s="1514"/>
    </row>
  </sheetData>
  <mergeCells count="15">
    <mergeCell ref="J1:K1"/>
    <mergeCell ref="A3:K3"/>
    <mergeCell ref="A4:K4"/>
    <mergeCell ref="A7:A10"/>
    <mergeCell ref="B7:B10"/>
    <mergeCell ref="C7:C10"/>
    <mergeCell ref="D7:D10"/>
    <mergeCell ref="E7:E10"/>
    <mergeCell ref="F7:F10"/>
    <mergeCell ref="G7:G10"/>
    <mergeCell ref="H7:I7"/>
    <mergeCell ref="J7:J10"/>
    <mergeCell ref="K7:K10"/>
    <mergeCell ref="H8:H10"/>
    <mergeCell ref="I8:I10"/>
  </mergeCells>
  <pageMargins left="0.23622047244094491" right="0.23622047244094491" top="0.51181102362204722" bottom="0.74803149606299213" header="0.31496062992125984" footer="0.31496062992125984"/>
  <pageSetup paperSize="9" scale="8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O33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defaultRowHeight="12"/>
  <cols>
    <col min="1" max="1" width="8.140625" style="815" customWidth="1"/>
    <col min="2" max="2" width="82" style="815" customWidth="1"/>
    <col min="3" max="8" width="10.7109375" style="815" customWidth="1"/>
    <col min="9" max="9" width="12.140625" style="815" customWidth="1"/>
    <col min="10" max="10" width="9.140625" style="815"/>
    <col min="11" max="13" width="9.140625" style="815" hidden="1" customWidth="1"/>
    <col min="14" max="15" width="0" style="815" hidden="1" customWidth="1"/>
    <col min="16" max="258" width="9.140625" style="815"/>
    <col min="259" max="259" width="8.140625" style="815" customWidth="1"/>
    <col min="260" max="260" width="82" style="815" customWidth="1"/>
    <col min="261" max="266" width="10.7109375" style="815" customWidth="1"/>
    <col min="267" max="267" width="9.140625" style="815"/>
    <col min="268" max="269" width="0" style="815" hidden="1" customWidth="1"/>
    <col min="270" max="514" width="9.140625" style="815"/>
    <col min="515" max="515" width="8.140625" style="815" customWidth="1"/>
    <col min="516" max="516" width="82" style="815" customWidth="1"/>
    <col min="517" max="522" width="10.7109375" style="815" customWidth="1"/>
    <col min="523" max="523" width="9.140625" style="815"/>
    <col min="524" max="525" width="0" style="815" hidden="1" customWidth="1"/>
    <col min="526" max="770" width="9.140625" style="815"/>
    <col min="771" max="771" width="8.140625" style="815" customWidth="1"/>
    <col min="772" max="772" width="82" style="815" customWidth="1"/>
    <col min="773" max="778" width="10.7109375" style="815" customWidth="1"/>
    <col min="779" max="779" width="9.140625" style="815"/>
    <col min="780" max="781" width="0" style="815" hidden="1" customWidth="1"/>
    <col min="782" max="1026" width="9.140625" style="815"/>
    <col min="1027" max="1027" width="8.140625" style="815" customWidth="1"/>
    <col min="1028" max="1028" width="82" style="815" customWidth="1"/>
    <col min="1029" max="1034" width="10.7109375" style="815" customWidth="1"/>
    <col min="1035" max="1035" width="9.140625" style="815"/>
    <col min="1036" max="1037" width="0" style="815" hidden="1" customWidth="1"/>
    <col min="1038" max="1282" width="9.140625" style="815"/>
    <col min="1283" max="1283" width="8.140625" style="815" customWidth="1"/>
    <col min="1284" max="1284" width="82" style="815" customWidth="1"/>
    <col min="1285" max="1290" width="10.7109375" style="815" customWidth="1"/>
    <col min="1291" max="1291" width="9.140625" style="815"/>
    <col min="1292" max="1293" width="0" style="815" hidden="1" customWidth="1"/>
    <col min="1294" max="1538" width="9.140625" style="815"/>
    <col min="1539" max="1539" width="8.140625" style="815" customWidth="1"/>
    <col min="1540" max="1540" width="82" style="815" customWidth="1"/>
    <col min="1541" max="1546" width="10.7109375" style="815" customWidth="1"/>
    <col min="1547" max="1547" width="9.140625" style="815"/>
    <col min="1548" max="1549" width="0" style="815" hidden="1" customWidth="1"/>
    <col min="1550" max="1794" width="9.140625" style="815"/>
    <col min="1795" max="1795" width="8.140625" style="815" customWidth="1"/>
    <col min="1796" max="1796" width="82" style="815" customWidth="1"/>
    <col min="1797" max="1802" width="10.7109375" style="815" customWidth="1"/>
    <col min="1803" max="1803" width="9.140625" style="815"/>
    <col min="1804" max="1805" width="0" style="815" hidden="1" customWidth="1"/>
    <col min="1806" max="2050" width="9.140625" style="815"/>
    <col min="2051" max="2051" width="8.140625" style="815" customWidth="1"/>
    <col min="2052" max="2052" width="82" style="815" customWidth="1"/>
    <col min="2053" max="2058" width="10.7109375" style="815" customWidth="1"/>
    <col min="2059" max="2059" width="9.140625" style="815"/>
    <col min="2060" max="2061" width="0" style="815" hidden="1" customWidth="1"/>
    <col min="2062" max="2306" width="9.140625" style="815"/>
    <col min="2307" max="2307" width="8.140625" style="815" customWidth="1"/>
    <col min="2308" max="2308" width="82" style="815" customWidth="1"/>
    <col min="2309" max="2314" width="10.7109375" style="815" customWidth="1"/>
    <col min="2315" max="2315" width="9.140625" style="815"/>
    <col min="2316" max="2317" width="0" style="815" hidden="1" customWidth="1"/>
    <col min="2318" max="2562" width="9.140625" style="815"/>
    <col min="2563" max="2563" width="8.140625" style="815" customWidth="1"/>
    <col min="2564" max="2564" width="82" style="815" customWidth="1"/>
    <col min="2565" max="2570" width="10.7109375" style="815" customWidth="1"/>
    <col min="2571" max="2571" width="9.140625" style="815"/>
    <col min="2572" max="2573" width="0" style="815" hidden="1" customWidth="1"/>
    <col min="2574" max="2818" width="9.140625" style="815"/>
    <col min="2819" max="2819" width="8.140625" style="815" customWidth="1"/>
    <col min="2820" max="2820" width="82" style="815" customWidth="1"/>
    <col min="2821" max="2826" width="10.7109375" style="815" customWidth="1"/>
    <col min="2827" max="2827" width="9.140625" style="815"/>
    <col min="2828" max="2829" width="0" style="815" hidden="1" customWidth="1"/>
    <col min="2830" max="3074" width="9.140625" style="815"/>
    <col min="3075" max="3075" width="8.140625" style="815" customWidth="1"/>
    <col min="3076" max="3076" width="82" style="815" customWidth="1"/>
    <col min="3077" max="3082" width="10.7109375" style="815" customWidth="1"/>
    <col min="3083" max="3083" width="9.140625" style="815"/>
    <col min="3084" max="3085" width="0" style="815" hidden="1" customWidth="1"/>
    <col min="3086" max="3330" width="9.140625" style="815"/>
    <col min="3331" max="3331" width="8.140625" style="815" customWidth="1"/>
    <col min="3332" max="3332" width="82" style="815" customWidth="1"/>
    <col min="3333" max="3338" width="10.7109375" style="815" customWidth="1"/>
    <col min="3339" max="3339" width="9.140625" style="815"/>
    <col min="3340" max="3341" width="0" style="815" hidden="1" customWidth="1"/>
    <col min="3342" max="3586" width="9.140625" style="815"/>
    <col min="3587" max="3587" width="8.140625" style="815" customWidth="1"/>
    <col min="3588" max="3588" width="82" style="815" customWidth="1"/>
    <col min="3589" max="3594" width="10.7109375" style="815" customWidth="1"/>
    <col min="3595" max="3595" width="9.140625" style="815"/>
    <col min="3596" max="3597" width="0" style="815" hidden="1" customWidth="1"/>
    <col min="3598" max="3842" width="9.140625" style="815"/>
    <col min="3843" max="3843" width="8.140625" style="815" customWidth="1"/>
    <col min="3844" max="3844" width="82" style="815" customWidth="1"/>
    <col min="3845" max="3850" width="10.7109375" style="815" customWidth="1"/>
    <col min="3851" max="3851" width="9.140625" style="815"/>
    <col min="3852" max="3853" width="0" style="815" hidden="1" customWidth="1"/>
    <col min="3854" max="4098" width="9.140625" style="815"/>
    <col min="4099" max="4099" width="8.140625" style="815" customWidth="1"/>
    <col min="4100" max="4100" width="82" style="815" customWidth="1"/>
    <col min="4101" max="4106" width="10.7109375" style="815" customWidth="1"/>
    <col min="4107" max="4107" width="9.140625" style="815"/>
    <col min="4108" max="4109" width="0" style="815" hidden="1" customWidth="1"/>
    <col min="4110" max="4354" width="9.140625" style="815"/>
    <col min="4355" max="4355" width="8.140625" style="815" customWidth="1"/>
    <col min="4356" max="4356" width="82" style="815" customWidth="1"/>
    <col min="4357" max="4362" width="10.7109375" style="815" customWidth="1"/>
    <col min="4363" max="4363" width="9.140625" style="815"/>
    <col min="4364" max="4365" width="0" style="815" hidden="1" customWidth="1"/>
    <col min="4366" max="4610" width="9.140625" style="815"/>
    <col min="4611" max="4611" width="8.140625" style="815" customWidth="1"/>
    <col min="4612" max="4612" width="82" style="815" customWidth="1"/>
    <col min="4613" max="4618" width="10.7109375" style="815" customWidth="1"/>
    <col min="4619" max="4619" width="9.140625" style="815"/>
    <col min="4620" max="4621" width="0" style="815" hidden="1" customWidth="1"/>
    <col min="4622" max="4866" width="9.140625" style="815"/>
    <col min="4867" max="4867" width="8.140625" style="815" customWidth="1"/>
    <col min="4868" max="4868" width="82" style="815" customWidth="1"/>
    <col min="4869" max="4874" width="10.7109375" style="815" customWidth="1"/>
    <col min="4875" max="4875" width="9.140625" style="815"/>
    <col min="4876" max="4877" width="0" style="815" hidden="1" customWidth="1"/>
    <col min="4878" max="5122" width="9.140625" style="815"/>
    <col min="5123" max="5123" width="8.140625" style="815" customWidth="1"/>
    <col min="5124" max="5124" width="82" style="815" customWidth="1"/>
    <col min="5125" max="5130" width="10.7109375" style="815" customWidth="1"/>
    <col min="5131" max="5131" width="9.140625" style="815"/>
    <col min="5132" max="5133" width="0" style="815" hidden="1" customWidth="1"/>
    <col min="5134" max="5378" width="9.140625" style="815"/>
    <col min="5379" max="5379" width="8.140625" style="815" customWidth="1"/>
    <col min="5380" max="5380" width="82" style="815" customWidth="1"/>
    <col min="5381" max="5386" width="10.7109375" style="815" customWidth="1"/>
    <col min="5387" max="5387" width="9.140625" style="815"/>
    <col min="5388" max="5389" width="0" style="815" hidden="1" customWidth="1"/>
    <col min="5390" max="5634" width="9.140625" style="815"/>
    <col min="5635" max="5635" width="8.140625" style="815" customWidth="1"/>
    <col min="5636" max="5636" width="82" style="815" customWidth="1"/>
    <col min="5637" max="5642" width="10.7109375" style="815" customWidth="1"/>
    <col min="5643" max="5643" width="9.140625" style="815"/>
    <col min="5644" max="5645" width="0" style="815" hidden="1" customWidth="1"/>
    <col min="5646" max="5890" width="9.140625" style="815"/>
    <col min="5891" max="5891" width="8.140625" style="815" customWidth="1"/>
    <col min="5892" max="5892" width="82" style="815" customWidth="1"/>
    <col min="5893" max="5898" width="10.7109375" style="815" customWidth="1"/>
    <col min="5899" max="5899" width="9.140625" style="815"/>
    <col min="5900" max="5901" width="0" style="815" hidden="1" customWidth="1"/>
    <col min="5902" max="6146" width="9.140625" style="815"/>
    <col min="6147" max="6147" width="8.140625" style="815" customWidth="1"/>
    <col min="6148" max="6148" width="82" style="815" customWidth="1"/>
    <col min="6149" max="6154" width="10.7109375" style="815" customWidth="1"/>
    <col min="6155" max="6155" width="9.140625" style="815"/>
    <col min="6156" max="6157" width="0" style="815" hidden="1" customWidth="1"/>
    <col min="6158" max="6402" width="9.140625" style="815"/>
    <col min="6403" max="6403" width="8.140625" style="815" customWidth="1"/>
    <col min="6404" max="6404" width="82" style="815" customWidth="1"/>
    <col min="6405" max="6410" width="10.7109375" style="815" customWidth="1"/>
    <col min="6411" max="6411" width="9.140625" style="815"/>
    <col min="6412" max="6413" width="0" style="815" hidden="1" customWidth="1"/>
    <col min="6414" max="6658" width="9.140625" style="815"/>
    <col min="6659" max="6659" width="8.140625" style="815" customWidth="1"/>
    <col min="6660" max="6660" width="82" style="815" customWidth="1"/>
    <col min="6661" max="6666" width="10.7109375" style="815" customWidth="1"/>
    <col min="6667" max="6667" width="9.140625" style="815"/>
    <col min="6668" max="6669" width="0" style="815" hidden="1" customWidth="1"/>
    <col min="6670" max="6914" width="9.140625" style="815"/>
    <col min="6915" max="6915" width="8.140625" style="815" customWidth="1"/>
    <col min="6916" max="6916" width="82" style="815" customWidth="1"/>
    <col min="6917" max="6922" width="10.7109375" style="815" customWidth="1"/>
    <col min="6923" max="6923" width="9.140625" style="815"/>
    <col min="6924" max="6925" width="0" style="815" hidden="1" customWidth="1"/>
    <col min="6926" max="7170" width="9.140625" style="815"/>
    <col min="7171" max="7171" width="8.140625" style="815" customWidth="1"/>
    <col min="7172" max="7172" width="82" style="815" customWidth="1"/>
    <col min="7173" max="7178" width="10.7109375" style="815" customWidth="1"/>
    <col min="7179" max="7179" width="9.140625" style="815"/>
    <col min="7180" max="7181" width="0" style="815" hidden="1" customWidth="1"/>
    <col min="7182" max="7426" width="9.140625" style="815"/>
    <col min="7427" max="7427" width="8.140625" style="815" customWidth="1"/>
    <col min="7428" max="7428" width="82" style="815" customWidth="1"/>
    <col min="7429" max="7434" width="10.7109375" style="815" customWidth="1"/>
    <col min="7435" max="7435" width="9.140625" style="815"/>
    <col min="7436" max="7437" width="0" style="815" hidden="1" customWidth="1"/>
    <col min="7438" max="7682" width="9.140625" style="815"/>
    <col min="7683" max="7683" width="8.140625" style="815" customWidth="1"/>
    <col min="7684" max="7684" width="82" style="815" customWidth="1"/>
    <col min="7685" max="7690" width="10.7109375" style="815" customWidth="1"/>
    <col min="7691" max="7691" width="9.140625" style="815"/>
    <col min="7692" max="7693" width="0" style="815" hidden="1" customWidth="1"/>
    <col min="7694" max="7938" width="9.140625" style="815"/>
    <col min="7939" max="7939" width="8.140625" style="815" customWidth="1"/>
    <col min="7940" max="7940" width="82" style="815" customWidth="1"/>
    <col min="7941" max="7946" width="10.7109375" style="815" customWidth="1"/>
    <col min="7947" max="7947" width="9.140625" style="815"/>
    <col min="7948" max="7949" width="0" style="815" hidden="1" customWidth="1"/>
    <col min="7950" max="8194" width="9.140625" style="815"/>
    <col min="8195" max="8195" width="8.140625" style="815" customWidth="1"/>
    <col min="8196" max="8196" width="82" style="815" customWidth="1"/>
    <col min="8197" max="8202" width="10.7109375" style="815" customWidth="1"/>
    <col min="8203" max="8203" width="9.140625" style="815"/>
    <col min="8204" max="8205" width="0" style="815" hidden="1" customWidth="1"/>
    <col min="8206" max="8450" width="9.140625" style="815"/>
    <col min="8451" max="8451" width="8.140625" style="815" customWidth="1"/>
    <col min="8452" max="8452" width="82" style="815" customWidth="1"/>
    <col min="8453" max="8458" width="10.7109375" style="815" customWidth="1"/>
    <col min="8459" max="8459" width="9.140625" style="815"/>
    <col min="8460" max="8461" width="0" style="815" hidden="1" customWidth="1"/>
    <col min="8462" max="8706" width="9.140625" style="815"/>
    <col min="8707" max="8707" width="8.140625" style="815" customWidth="1"/>
    <col min="8708" max="8708" width="82" style="815" customWidth="1"/>
    <col min="8709" max="8714" width="10.7109375" style="815" customWidth="1"/>
    <col min="8715" max="8715" width="9.140625" style="815"/>
    <col min="8716" max="8717" width="0" style="815" hidden="1" customWidth="1"/>
    <col min="8718" max="8962" width="9.140625" style="815"/>
    <col min="8963" max="8963" width="8.140625" style="815" customWidth="1"/>
    <col min="8964" max="8964" width="82" style="815" customWidth="1"/>
    <col min="8965" max="8970" width="10.7109375" style="815" customWidth="1"/>
    <col min="8971" max="8971" width="9.140625" style="815"/>
    <col min="8972" max="8973" width="0" style="815" hidden="1" customWidth="1"/>
    <col min="8974" max="9218" width="9.140625" style="815"/>
    <col min="9219" max="9219" width="8.140625" style="815" customWidth="1"/>
    <col min="9220" max="9220" width="82" style="815" customWidth="1"/>
    <col min="9221" max="9226" width="10.7109375" style="815" customWidth="1"/>
    <col min="9227" max="9227" width="9.140625" style="815"/>
    <col min="9228" max="9229" width="0" style="815" hidden="1" customWidth="1"/>
    <col min="9230" max="9474" width="9.140625" style="815"/>
    <col min="9475" max="9475" width="8.140625" style="815" customWidth="1"/>
    <col min="9476" max="9476" width="82" style="815" customWidth="1"/>
    <col min="9477" max="9482" width="10.7109375" style="815" customWidth="1"/>
    <col min="9483" max="9483" width="9.140625" style="815"/>
    <col min="9484" max="9485" width="0" style="815" hidden="1" customWidth="1"/>
    <col min="9486" max="9730" width="9.140625" style="815"/>
    <col min="9731" max="9731" width="8.140625" style="815" customWidth="1"/>
    <col min="9732" max="9732" width="82" style="815" customWidth="1"/>
    <col min="9733" max="9738" width="10.7109375" style="815" customWidth="1"/>
    <col min="9739" max="9739" width="9.140625" style="815"/>
    <col min="9740" max="9741" width="0" style="815" hidden="1" customWidth="1"/>
    <col min="9742" max="9986" width="9.140625" style="815"/>
    <col min="9987" max="9987" width="8.140625" style="815" customWidth="1"/>
    <col min="9988" max="9988" width="82" style="815" customWidth="1"/>
    <col min="9989" max="9994" width="10.7109375" style="815" customWidth="1"/>
    <col min="9995" max="9995" width="9.140625" style="815"/>
    <col min="9996" max="9997" width="0" style="815" hidden="1" customWidth="1"/>
    <col min="9998" max="10242" width="9.140625" style="815"/>
    <col min="10243" max="10243" width="8.140625" style="815" customWidth="1"/>
    <col min="10244" max="10244" width="82" style="815" customWidth="1"/>
    <col min="10245" max="10250" width="10.7109375" style="815" customWidth="1"/>
    <col min="10251" max="10251" width="9.140625" style="815"/>
    <col min="10252" max="10253" width="0" style="815" hidden="1" customWidth="1"/>
    <col min="10254" max="10498" width="9.140625" style="815"/>
    <col min="10499" max="10499" width="8.140625" style="815" customWidth="1"/>
    <col min="10500" max="10500" width="82" style="815" customWidth="1"/>
    <col min="10501" max="10506" width="10.7109375" style="815" customWidth="1"/>
    <col min="10507" max="10507" width="9.140625" style="815"/>
    <col min="10508" max="10509" width="0" style="815" hidden="1" customWidth="1"/>
    <col min="10510" max="10754" width="9.140625" style="815"/>
    <col min="10755" max="10755" width="8.140625" style="815" customWidth="1"/>
    <col min="10756" max="10756" width="82" style="815" customWidth="1"/>
    <col min="10757" max="10762" width="10.7109375" style="815" customWidth="1"/>
    <col min="10763" max="10763" width="9.140625" style="815"/>
    <col min="10764" max="10765" width="0" style="815" hidden="1" customWidth="1"/>
    <col min="10766" max="11010" width="9.140625" style="815"/>
    <col min="11011" max="11011" width="8.140625" style="815" customWidth="1"/>
    <col min="11012" max="11012" width="82" style="815" customWidth="1"/>
    <col min="11013" max="11018" width="10.7109375" style="815" customWidth="1"/>
    <col min="11019" max="11019" width="9.140625" style="815"/>
    <col min="11020" max="11021" width="0" style="815" hidden="1" customWidth="1"/>
    <col min="11022" max="11266" width="9.140625" style="815"/>
    <col min="11267" max="11267" width="8.140625" style="815" customWidth="1"/>
    <col min="11268" max="11268" width="82" style="815" customWidth="1"/>
    <col min="11269" max="11274" width="10.7109375" style="815" customWidth="1"/>
    <col min="11275" max="11275" width="9.140625" style="815"/>
    <col min="11276" max="11277" width="0" style="815" hidden="1" customWidth="1"/>
    <col min="11278" max="11522" width="9.140625" style="815"/>
    <col min="11523" max="11523" width="8.140625" style="815" customWidth="1"/>
    <col min="11524" max="11524" width="82" style="815" customWidth="1"/>
    <col min="11525" max="11530" width="10.7109375" style="815" customWidth="1"/>
    <col min="11531" max="11531" width="9.140625" style="815"/>
    <col min="11532" max="11533" width="0" style="815" hidden="1" customWidth="1"/>
    <col min="11534" max="11778" width="9.140625" style="815"/>
    <col min="11779" max="11779" width="8.140625" style="815" customWidth="1"/>
    <col min="11780" max="11780" width="82" style="815" customWidth="1"/>
    <col min="11781" max="11786" width="10.7109375" style="815" customWidth="1"/>
    <col min="11787" max="11787" width="9.140625" style="815"/>
    <col min="11788" max="11789" width="0" style="815" hidden="1" customWidth="1"/>
    <col min="11790" max="12034" width="9.140625" style="815"/>
    <col min="12035" max="12035" width="8.140625" style="815" customWidth="1"/>
    <col min="12036" max="12036" width="82" style="815" customWidth="1"/>
    <col min="12037" max="12042" width="10.7109375" style="815" customWidth="1"/>
    <col min="12043" max="12043" width="9.140625" style="815"/>
    <col min="12044" max="12045" width="0" style="815" hidden="1" customWidth="1"/>
    <col min="12046" max="12290" width="9.140625" style="815"/>
    <col min="12291" max="12291" width="8.140625" style="815" customWidth="1"/>
    <col min="12292" max="12292" width="82" style="815" customWidth="1"/>
    <col min="12293" max="12298" width="10.7109375" style="815" customWidth="1"/>
    <col min="12299" max="12299" width="9.140625" style="815"/>
    <col min="12300" max="12301" width="0" style="815" hidden="1" customWidth="1"/>
    <col min="12302" max="12546" width="9.140625" style="815"/>
    <col min="12547" max="12547" width="8.140625" style="815" customWidth="1"/>
    <col min="12548" max="12548" width="82" style="815" customWidth="1"/>
    <col min="12549" max="12554" width="10.7109375" style="815" customWidth="1"/>
    <col min="12555" max="12555" width="9.140625" style="815"/>
    <col min="12556" max="12557" width="0" style="815" hidden="1" customWidth="1"/>
    <col min="12558" max="12802" width="9.140625" style="815"/>
    <col min="12803" max="12803" width="8.140625" style="815" customWidth="1"/>
    <col min="12804" max="12804" width="82" style="815" customWidth="1"/>
    <col min="12805" max="12810" width="10.7109375" style="815" customWidth="1"/>
    <col min="12811" max="12811" width="9.140625" style="815"/>
    <col min="12812" max="12813" width="0" style="815" hidden="1" customWidth="1"/>
    <col min="12814" max="13058" width="9.140625" style="815"/>
    <col min="13059" max="13059" width="8.140625" style="815" customWidth="1"/>
    <col min="13060" max="13060" width="82" style="815" customWidth="1"/>
    <col min="13061" max="13066" width="10.7109375" style="815" customWidth="1"/>
    <col min="13067" max="13067" width="9.140625" style="815"/>
    <col min="13068" max="13069" width="0" style="815" hidden="1" customWidth="1"/>
    <col min="13070" max="13314" width="9.140625" style="815"/>
    <col min="13315" max="13315" width="8.140625" style="815" customWidth="1"/>
    <col min="13316" max="13316" width="82" style="815" customWidth="1"/>
    <col min="13317" max="13322" width="10.7109375" style="815" customWidth="1"/>
    <col min="13323" max="13323" width="9.140625" style="815"/>
    <col min="13324" max="13325" width="0" style="815" hidden="1" customWidth="1"/>
    <col min="13326" max="13570" width="9.140625" style="815"/>
    <col min="13571" max="13571" width="8.140625" style="815" customWidth="1"/>
    <col min="13572" max="13572" width="82" style="815" customWidth="1"/>
    <col min="13573" max="13578" width="10.7109375" style="815" customWidth="1"/>
    <col min="13579" max="13579" width="9.140625" style="815"/>
    <col min="13580" max="13581" width="0" style="815" hidden="1" customWidth="1"/>
    <col min="13582" max="13826" width="9.140625" style="815"/>
    <col min="13827" max="13827" width="8.140625" style="815" customWidth="1"/>
    <col min="13828" max="13828" width="82" style="815" customWidth="1"/>
    <col min="13829" max="13834" width="10.7109375" style="815" customWidth="1"/>
    <col min="13835" max="13835" width="9.140625" style="815"/>
    <col min="13836" max="13837" width="0" style="815" hidden="1" customWidth="1"/>
    <col min="13838" max="14082" width="9.140625" style="815"/>
    <col min="14083" max="14083" width="8.140625" style="815" customWidth="1"/>
    <col min="14084" max="14084" width="82" style="815" customWidth="1"/>
    <col min="14085" max="14090" width="10.7109375" style="815" customWidth="1"/>
    <col min="14091" max="14091" width="9.140625" style="815"/>
    <col min="14092" max="14093" width="0" style="815" hidden="1" customWidth="1"/>
    <col min="14094" max="14338" width="9.140625" style="815"/>
    <col min="14339" max="14339" width="8.140625" style="815" customWidth="1"/>
    <col min="14340" max="14340" width="82" style="815" customWidth="1"/>
    <col min="14341" max="14346" width="10.7109375" style="815" customWidth="1"/>
    <col min="14347" max="14347" width="9.140625" style="815"/>
    <col min="14348" max="14349" width="0" style="815" hidden="1" customWidth="1"/>
    <col min="14350" max="14594" width="9.140625" style="815"/>
    <col min="14595" max="14595" width="8.140625" style="815" customWidth="1"/>
    <col min="14596" max="14596" width="82" style="815" customWidth="1"/>
    <col min="14597" max="14602" width="10.7109375" style="815" customWidth="1"/>
    <col min="14603" max="14603" width="9.140625" style="815"/>
    <col min="14604" max="14605" width="0" style="815" hidden="1" customWidth="1"/>
    <col min="14606" max="14850" width="9.140625" style="815"/>
    <col min="14851" max="14851" width="8.140625" style="815" customWidth="1"/>
    <col min="14852" max="14852" width="82" style="815" customWidth="1"/>
    <col min="14853" max="14858" width="10.7109375" style="815" customWidth="1"/>
    <col min="14859" max="14859" width="9.140625" style="815"/>
    <col min="14860" max="14861" width="0" style="815" hidden="1" customWidth="1"/>
    <col min="14862" max="15106" width="9.140625" style="815"/>
    <col min="15107" max="15107" width="8.140625" style="815" customWidth="1"/>
    <col min="15108" max="15108" width="82" style="815" customWidth="1"/>
    <col min="15109" max="15114" width="10.7109375" style="815" customWidth="1"/>
    <col min="15115" max="15115" width="9.140625" style="815"/>
    <col min="15116" max="15117" width="0" style="815" hidden="1" customWidth="1"/>
    <col min="15118" max="15362" width="9.140625" style="815"/>
    <col min="15363" max="15363" width="8.140625" style="815" customWidth="1"/>
    <col min="15364" max="15364" width="82" style="815" customWidth="1"/>
    <col min="15365" max="15370" width="10.7109375" style="815" customWidth="1"/>
    <col min="15371" max="15371" width="9.140625" style="815"/>
    <col min="15372" max="15373" width="0" style="815" hidden="1" customWidth="1"/>
    <col min="15374" max="15618" width="9.140625" style="815"/>
    <col min="15619" max="15619" width="8.140625" style="815" customWidth="1"/>
    <col min="15620" max="15620" width="82" style="815" customWidth="1"/>
    <col min="15621" max="15626" width="10.7109375" style="815" customWidth="1"/>
    <col min="15627" max="15627" width="9.140625" style="815"/>
    <col min="15628" max="15629" width="0" style="815" hidden="1" customWidth="1"/>
    <col min="15630" max="15874" width="9.140625" style="815"/>
    <col min="15875" max="15875" width="8.140625" style="815" customWidth="1"/>
    <col min="15876" max="15876" width="82" style="815" customWidth="1"/>
    <col min="15877" max="15882" width="10.7109375" style="815" customWidth="1"/>
    <col min="15883" max="15883" width="9.140625" style="815"/>
    <col min="15884" max="15885" width="0" style="815" hidden="1" customWidth="1"/>
    <col min="15886" max="16130" width="9.140625" style="815"/>
    <col min="16131" max="16131" width="8.140625" style="815" customWidth="1"/>
    <col min="16132" max="16132" width="82" style="815" customWidth="1"/>
    <col min="16133" max="16138" width="10.7109375" style="815" customWidth="1"/>
    <col min="16139" max="16139" width="9.140625" style="815"/>
    <col min="16140" max="16141" width="0" style="815" hidden="1" customWidth="1"/>
    <col min="16142" max="16384" width="9.140625" style="815"/>
  </cols>
  <sheetData>
    <row r="1" spans="1:15" ht="15.75">
      <c r="I1" s="153" t="s">
        <v>1586</v>
      </c>
    </row>
    <row r="2" spans="1:15" s="1778" customFormat="1" ht="15.75" customHeight="1">
      <c r="A2" s="1928" t="s">
        <v>2577</v>
      </c>
      <c r="B2" s="1928"/>
      <c r="C2" s="1928"/>
      <c r="D2" s="1928"/>
      <c r="E2" s="1928"/>
      <c r="F2" s="1928"/>
      <c r="G2" s="1928"/>
      <c r="H2" s="1928"/>
      <c r="I2" s="1928"/>
    </row>
    <row r="3" spans="1:15" ht="14.25" thickBot="1">
      <c r="A3" s="1338"/>
      <c r="I3" s="1428" t="s">
        <v>458</v>
      </c>
    </row>
    <row r="4" spans="1:15" s="810" customFormat="1">
      <c r="A4" s="1300" t="s">
        <v>1589</v>
      </c>
      <c r="B4" s="1516" t="s">
        <v>7</v>
      </c>
      <c r="C4" s="1517" t="s">
        <v>18</v>
      </c>
      <c r="D4" s="1518" t="s">
        <v>2578</v>
      </c>
      <c r="E4" s="1519" t="s">
        <v>2579</v>
      </c>
      <c r="F4" s="1520" t="s">
        <v>2580</v>
      </c>
      <c r="G4" s="1520" t="s">
        <v>2581</v>
      </c>
      <c r="H4" s="1520" t="s">
        <v>2582</v>
      </c>
      <c r="I4" s="1521" t="s">
        <v>2583</v>
      </c>
    </row>
    <row r="5" spans="1:15" ht="12.75" thickBot="1">
      <c r="A5" s="1339">
        <v>1</v>
      </c>
      <c r="B5" s="1522">
        <v>2</v>
      </c>
      <c r="C5" s="1523">
        <v>3</v>
      </c>
      <c r="D5" s="1524" t="s">
        <v>2584</v>
      </c>
      <c r="E5" s="1525" t="s">
        <v>2585</v>
      </c>
      <c r="F5" s="1526" t="s">
        <v>2586</v>
      </c>
      <c r="G5" s="1526" t="s">
        <v>2587</v>
      </c>
      <c r="H5" s="1526" t="s">
        <v>2588</v>
      </c>
      <c r="I5" s="1527" t="s">
        <v>2589</v>
      </c>
    </row>
    <row r="6" spans="1:15">
      <c r="A6" s="1322" t="s">
        <v>1593</v>
      </c>
      <c r="B6" s="1528" t="s">
        <v>2590</v>
      </c>
      <c r="C6" s="1529">
        <f>SUM(D6:I6)</f>
        <v>3258557</v>
      </c>
      <c r="D6" s="1530">
        <v>3190381</v>
      </c>
      <c r="E6" s="1309">
        <v>52462</v>
      </c>
      <c r="F6" s="1309">
        <v>14234</v>
      </c>
      <c r="G6" s="1309">
        <v>1480</v>
      </c>
      <c r="H6" s="1309">
        <f>+'[5]1.5._mell._MŐSZ_Mérleg2018'!E70</f>
        <v>0</v>
      </c>
      <c r="I6" s="1310">
        <v>0</v>
      </c>
      <c r="K6" s="118">
        <f>+'1.mell._Össz_Mérleg2019'!E70</f>
        <v>3258557</v>
      </c>
      <c r="L6" s="118">
        <f>+K6-C6</f>
        <v>0</v>
      </c>
      <c r="M6" s="118"/>
    </row>
    <row r="7" spans="1:15" ht="12.75" thickBot="1">
      <c r="A7" s="1304" t="s">
        <v>1595</v>
      </c>
      <c r="B7" s="1531" t="s">
        <v>2591</v>
      </c>
      <c r="C7" s="1532">
        <f>SUM(D7:I7)</f>
        <v>3032485</v>
      </c>
      <c r="D7" s="1533">
        <v>2044019</v>
      </c>
      <c r="E7" s="1316">
        <v>418656</v>
      </c>
      <c r="F7" s="1316">
        <v>401629</v>
      </c>
      <c r="G7" s="1316">
        <v>39559</v>
      </c>
      <c r="H7" s="1316">
        <v>10440</v>
      </c>
      <c r="I7" s="1317">
        <v>118182</v>
      </c>
      <c r="K7" s="118">
        <f>+'1.mell._Össz_Mérleg2019'!E176</f>
        <v>3032485</v>
      </c>
      <c r="L7" s="118">
        <f>+K7-C7</f>
        <v>0</v>
      </c>
      <c r="M7" s="118"/>
    </row>
    <row r="8" spans="1:15" ht="12.75" thickBot="1">
      <c r="A8" s="1318" t="s">
        <v>1597</v>
      </c>
      <c r="B8" s="1534" t="s">
        <v>2592</v>
      </c>
      <c r="C8" s="1535">
        <f t="shared" ref="C8:I8" si="0">+C6-C7</f>
        <v>226072</v>
      </c>
      <c r="D8" s="1536">
        <f t="shared" si="0"/>
        <v>1146362</v>
      </c>
      <c r="E8" s="1320">
        <f t="shared" si="0"/>
        <v>-366194</v>
      </c>
      <c r="F8" s="1320">
        <f t="shared" si="0"/>
        <v>-387395</v>
      </c>
      <c r="G8" s="1320">
        <f t="shared" si="0"/>
        <v>-38079</v>
      </c>
      <c r="H8" s="1320">
        <f t="shared" si="0"/>
        <v>-10440</v>
      </c>
      <c r="I8" s="1321">
        <f t="shared" si="0"/>
        <v>-118182</v>
      </c>
      <c r="L8" s="118"/>
      <c r="M8" s="118"/>
    </row>
    <row r="9" spans="1:15">
      <c r="A9" s="1322" t="s">
        <v>1599</v>
      </c>
      <c r="B9" s="1528" t="s">
        <v>2593</v>
      </c>
      <c r="C9" s="1529">
        <f>SUM(D9:I9)</f>
        <v>4085370</v>
      </c>
      <c r="D9" s="1537">
        <v>3141946</v>
      </c>
      <c r="E9" s="1324">
        <v>388825</v>
      </c>
      <c r="F9" s="1324">
        <v>387505</v>
      </c>
      <c r="G9" s="1324">
        <v>38408</v>
      </c>
      <c r="H9" s="1324">
        <v>10464</v>
      </c>
      <c r="I9" s="1325">
        <v>118222</v>
      </c>
      <c r="K9" s="118">
        <f>+'1.mell._Össz_Mérleg2019'!E101+'1.2.mell._HKÖH_Mérleg2019'!E79+'1.2.mell._HKÖH_Mérleg2019'!E94+'1.3.mell._HVÓBKI_Mérleg2019'!E79+'1.3.mell._HVÓBKI_Mérleg2019'!E94+'1.4.mell._HKK_Mérleg2019'!E79+'1.4.mell._HKK_Mérleg2019'!E94+'1.5._mell._MŐSZ_Mérleg2019'!E79+'1.5._mell._MŐSZ_Mérleg2019'!E94+'1.6._mell._HVGYKCSSZ_Mérleg2019'!E79+'1.6._mell._HVGYKCSSZ_Mérleg2019'!E94</f>
        <v>4085370</v>
      </c>
      <c r="L9" s="118">
        <f>+K9-C9</f>
        <v>0</v>
      </c>
      <c r="M9" s="118"/>
      <c r="N9" s="118">
        <f>+'1.2.mell._HKÖH_Mérleg2019'!D79+'1.2.mell._HKÖH_Mérleg2019'!D94+'1.3.mell._HVÓBKI_Mérleg2019'!D79+'1.3.mell._HVÓBKI_Mérleg2019'!D94+'1.4.mell._HKK_Mérleg2019'!D79+'1.4.mell._HKK_Mérleg2019'!D94+'1.5._mell._MŐSZ_Mérleg2019'!D79+'1.5._mell._MŐSZ_Mérleg2019'!D94+'1.6._mell._HVGYKCSSZ_Mérleg2019'!D79+'1.6._mell._HVGYKCSSZ_Mérleg2019'!D94</f>
        <v>897360</v>
      </c>
      <c r="O9" s="118">
        <f>+'1.2.mell._HKÖH_Mérleg2019'!E79+'1.2.mell._HKÖH_Mérleg2019'!E94+'1.3.mell._HVÓBKI_Mérleg2019'!E79+'1.3.mell._HVÓBKI_Mérleg2019'!E94+'1.4.mell._HKK_Mérleg2019'!E79+'1.4.mell._HKK_Mérleg2019'!E94+'1.5._mell._MŐSZ_Mérleg2019'!E79+'1.5._mell._MŐSZ_Mérleg2019'!E94+'1.6._mell._HVGYKCSSZ_Mérleg2019'!E79+'1.6._mell._HVGYKCSSZ_Mérleg2019'!E94</f>
        <v>888766</v>
      </c>
    </row>
    <row r="10" spans="1:15" ht="12.75" thickBot="1">
      <c r="A10" s="1304" t="s">
        <v>1601</v>
      </c>
      <c r="B10" s="1531" t="s">
        <v>2594</v>
      </c>
      <c r="C10" s="1532">
        <f>SUM(D10:I10)</f>
        <v>980714</v>
      </c>
      <c r="D10" s="1533">
        <f>980715-1</f>
        <v>980714</v>
      </c>
      <c r="E10" s="1316"/>
      <c r="F10" s="1316"/>
      <c r="G10" s="1316"/>
      <c r="H10" s="1316"/>
      <c r="I10" s="1317"/>
      <c r="K10" s="118">
        <f>+'1.mell._Össz_Mérleg2019'!E207+'1.1.mell._ÖNK_Mérleg2019'!E184+'1.1.mell._ÖNK_Mérleg2019'!E199</f>
        <v>980714</v>
      </c>
      <c r="L10" s="118">
        <f>+K10-C10</f>
        <v>0</v>
      </c>
      <c r="M10" s="118"/>
      <c r="N10" s="118">
        <f>+'1.1.mell._ÖNK_Mérleg2019'!D184+'1.1.mell._ÖNK_Mérleg2019'!D199</f>
        <v>897360</v>
      </c>
      <c r="O10" s="118">
        <f>+'1.1.mell._ÖNK_Mérleg2019'!E184+'1.1.mell._ÖNK_Mérleg2019'!E199</f>
        <v>888766</v>
      </c>
    </row>
    <row r="11" spans="1:15" ht="12.75" thickBot="1">
      <c r="A11" s="1318" t="s">
        <v>1603</v>
      </c>
      <c r="B11" s="1534" t="s">
        <v>2595</v>
      </c>
      <c r="C11" s="1535">
        <f t="shared" ref="C11:I11" si="1">+C9-C10</f>
        <v>3104656</v>
      </c>
      <c r="D11" s="1536">
        <f t="shared" si="1"/>
        <v>2161232</v>
      </c>
      <c r="E11" s="1320">
        <f t="shared" si="1"/>
        <v>388825</v>
      </c>
      <c r="F11" s="1320">
        <f t="shared" si="1"/>
        <v>387505</v>
      </c>
      <c r="G11" s="1320">
        <f t="shared" si="1"/>
        <v>38408</v>
      </c>
      <c r="H11" s="1320">
        <f t="shared" si="1"/>
        <v>10464</v>
      </c>
      <c r="I11" s="1321">
        <f t="shared" si="1"/>
        <v>118222</v>
      </c>
    </row>
    <row r="12" spans="1:15" ht="12.75" thickBot="1">
      <c r="A12" s="1318" t="s">
        <v>1605</v>
      </c>
      <c r="B12" s="1534" t="s">
        <v>2596</v>
      </c>
      <c r="C12" s="1535">
        <f t="shared" ref="C12:I12" si="2">+C8+C11</f>
        <v>3330728</v>
      </c>
      <c r="D12" s="1536">
        <f t="shared" si="2"/>
        <v>3307594</v>
      </c>
      <c r="E12" s="1320">
        <f t="shared" si="2"/>
        <v>22631</v>
      </c>
      <c r="F12" s="1320">
        <f t="shared" si="2"/>
        <v>110</v>
      </c>
      <c r="G12" s="1320">
        <f t="shared" si="2"/>
        <v>329</v>
      </c>
      <c r="H12" s="1320">
        <f t="shared" si="2"/>
        <v>24</v>
      </c>
      <c r="I12" s="1321">
        <f t="shared" si="2"/>
        <v>40</v>
      </c>
    </row>
    <row r="13" spans="1:15">
      <c r="A13" s="1322" t="s">
        <v>1607</v>
      </c>
      <c r="B13" s="1528" t="s">
        <v>2597</v>
      </c>
      <c r="C13" s="1529">
        <f>SUM(D13:I13)</f>
        <v>0</v>
      </c>
      <c r="D13" s="1537"/>
      <c r="E13" s="1324"/>
      <c r="F13" s="1324"/>
      <c r="G13" s="1324"/>
      <c r="H13" s="1324"/>
      <c r="I13" s="1325"/>
    </row>
    <row r="14" spans="1:15" ht="12.75" thickBot="1">
      <c r="A14" s="1304" t="s">
        <v>1609</v>
      </c>
      <c r="B14" s="1531" t="s">
        <v>2598</v>
      </c>
      <c r="C14" s="1532">
        <f>SUM(D14:I14)</f>
        <v>0</v>
      </c>
      <c r="D14" s="1533"/>
      <c r="E14" s="1316"/>
      <c r="F14" s="1316"/>
      <c r="G14" s="1316"/>
      <c r="H14" s="1316"/>
      <c r="I14" s="1317"/>
    </row>
    <row r="15" spans="1:15" ht="12.75" thickBot="1">
      <c r="A15" s="1318" t="s">
        <v>1611</v>
      </c>
      <c r="B15" s="1534" t="s">
        <v>2599</v>
      </c>
      <c r="C15" s="1535">
        <f t="shared" ref="C15:I15" si="3">+C13-C14</f>
        <v>0</v>
      </c>
      <c r="D15" s="1536">
        <f t="shared" si="3"/>
        <v>0</v>
      </c>
      <c r="E15" s="1320">
        <f t="shared" si="3"/>
        <v>0</v>
      </c>
      <c r="F15" s="1320">
        <f t="shared" si="3"/>
        <v>0</v>
      </c>
      <c r="G15" s="1320">
        <f t="shared" si="3"/>
        <v>0</v>
      </c>
      <c r="H15" s="1320">
        <f t="shared" si="3"/>
        <v>0</v>
      </c>
      <c r="I15" s="1321">
        <f t="shared" si="3"/>
        <v>0</v>
      </c>
    </row>
    <row r="16" spans="1:15">
      <c r="A16" s="1322" t="s">
        <v>1613</v>
      </c>
      <c r="B16" s="1528" t="s">
        <v>2600</v>
      </c>
      <c r="C16" s="1529">
        <f>SUM(D16:I16)</f>
        <v>0</v>
      </c>
      <c r="D16" s="1537"/>
      <c r="E16" s="1324"/>
      <c r="F16" s="1324"/>
      <c r="G16" s="1324"/>
      <c r="H16" s="1324"/>
      <c r="I16" s="1325"/>
    </row>
    <row r="17" spans="1:9" ht="12.75" thickBot="1">
      <c r="A17" s="1304" t="s">
        <v>1615</v>
      </c>
      <c r="B17" s="1531" t="s">
        <v>2601</v>
      </c>
      <c r="C17" s="1532">
        <f>SUM(D17:I17)</f>
        <v>0</v>
      </c>
      <c r="D17" s="1533"/>
      <c r="E17" s="1316"/>
      <c r="F17" s="1316"/>
      <c r="G17" s="1316"/>
      <c r="H17" s="1316"/>
      <c r="I17" s="1317"/>
    </row>
    <row r="18" spans="1:9" ht="12.75" thickBot="1">
      <c r="A18" s="1318" t="s">
        <v>1617</v>
      </c>
      <c r="B18" s="1534" t="s">
        <v>2602</v>
      </c>
      <c r="C18" s="1535">
        <f t="shared" ref="C18:I18" si="4">+C16-C17</f>
        <v>0</v>
      </c>
      <c r="D18" s="1536">
        <f t="shared" si="4"/>
        <v>0</v>
      </c>
      <c r="E18" s="1320">
        <f t="shared" si="4"/>
        <v>0</v>
      </c>
      <c r="F18" s="1320">
        <f t="shared" si="4"/>
        <v>0</v>
      </c>
      <c r="G18" s="1320">
        <f t="shared" si="4"/>
        <v>0</v>
      </c>
      <c r="H18" s="1320">
        <f t="shared" si="4"/>
        <v>0</v>
      </c>
      <c r="I18" s="1321">
        <f t="shared" si="4"/>
        <v>0</v>
      </c>
    </row>
    <row r="19" spans="1:9" ht="12.75" thickBot="1">
      <c r="A19" s="1326" t="s">
        <v>1619</v>
      </c>
      <c r="B19" s="1538" t="s">
        <v>2603</v>
      </c>
      <c r="C19" s="1539">
        <f t="shared" ref="C19:I19" si="5">+C15+C18</f>
        <v>0</v>
      </c>
      <c r="D19" s="1540">
        <f t="shared" si="5"/>
        <v>0</v>
      </c>
      <c r="E19" s="1328">
        <f t="shared" si="5"/>
        <v>0</v>
      </c>
      <c r="F19" s="1328">
        <f t="shared" si="5"/>
        <v>0</v>
      </c>
      <c r="G19" s="1328">
        <f t="shared" si="5"/>
        <v>0</v>
      </c>
      <c r="H19" s="1328">
        <f t="shared" si="5"/>
        <v>0</v>
      </c>
      <c r="I19" s="1329">
        <f t="shared" si="5"/>
        <v>0</v>
      </c>
    </row>
    <row r="20" spans="1:9" ht="12.75" thickBot="1">
      <c r="A20" s="1318" t="s">
        <v>1621</v>
      </c>
      <c r="B20" s="1534" t="s">
        <v>2604</v>
      </c>
      <c r="C20" s="1535">
        <f t="shared" ref="C20:I20" si="6">+C12+C19</f>
        <v>3330728</v>
      </c>
      <c r="D20" s="1536">
        <f t="shared" si="6"/>
        <v>3307594</v>
      </c>
      <c r="E20" s="1320">
        <f t="shared" si="6"/>
        <v>22631</v>
      </c>
      <c r="F20" s="1320">
        <f t="shared" si="6"/>
        <v>110</v>
      </c>
      <c r="G20" s="1320">
        <f t="shared" si="6"/>
        <v>329</v>
      </c>
      <c r="H20" s="1320">
        <f t="shared" si="6"/>
        <v>24</v>
      </c>
      <c r="I20" s="1321">
        <f t="shared" si="6"/>
        <v>40</v>
      </c>
    </row>
    <row r="21" spans="1:9" ht="12.75" thickBot="1">
      <c r="A21" s="1326" t="s">
        <v>1623</v>
      </c>
      <c r="B21" s="1538" t="s">
        <v>2605</v>
      </c>
      <c r="C21" s="1539">
        <f>SUM(D21:I21)</f>
        <v>0</v>
      </c>
      <c r="D21" s="1540"/>
      <c r="E21" s="1328"/>
      <c r="F21" s="1328"/>
      <c r="G21" s="1328"/>
      <c r="H21" s="1328"/>
      <c r="I21" s="1329"/>
    </row>
    <row r="22" spans="1:9" ht="12.75" thickBot="1">
      <c r="A22" s="1318" t="s">
        <v>1625</v>
      </c>
      <c r="B22" s="1534" t="s">
        <v>2606</v>
      </c>
      <c r="C22" s="1535">
        <f>SUM(D22:I22)</f>
        <v>3330728</v>
      </c>
      <c r="D22" s="1536">
        <f t="shared" ref="D22:I22" si="7">+D20-D21</f>
        <v>3307594</v>
      </c>
      <c r="E22" s="1320">
        <f t="shared" si="7"/>
        <v>22631</v>
      </c>
      <c r="F22" s="1320">
        <f t="shared" si="7"/>
        <v>110</v>
      </c>
      <c r="G22" s="1320">
        <f t="shared" si="7"/>
        <v>329</v>
      </c>
      <c r="H22" s="1320">
        <f t="shared" si="7"/>
        <v>24</v>
      </c>
      <c r="I22" s="1321">
        <f t="shared" si="7"/>
        <v>40</v>
      </c>
    </row>
    <row r="23" spans="1:9" ht="12.75" thickBot="1">
      <c r="A23" s="1326" t="s">
        <v>1627</v>
      </c>
      <c r="B23" s="1538" t="s">
        <v>2607</v>
      </c>
      <c r="C23" s="1539">
        <f>SUM(D23:I23)</f>
        <v>0</v>
      </c>
      <c r="D23" s="1540">
        <f t="shared" ref="D23:I23" si="8">+ROUND(D19*0.1,0)</f>
        <v>0</v>
      </c>
      <c r="E23" s="1328">
        <f t="shared" si="8"/>
        <v>0</v>
      </c>
      <c r="F23" s="1328">
        <f t="shared" si="8"/>
        <v>0</v>
      </c>
      <c r="G23" s="1328">
        <f t="shared" si="8"/>
        <v>0</v>
      </c>
      <c r="H23" s="1328">
        <f t="shared" si="8"/>
        <v>0</v>
      </c>
      <c r="I23" s="1329">
        <f t="shared" si="8"/>
        <v>0</v>
      </c>
    </row>
    <row r="24" spans="1:9" ht="12.75" thickBot="1">
      <c r="A24" s="1318" t="s">
        <v>1629</v>
      </c>
      <c r="B24" s="1534" t="s">
        <v>2608</v>
      </c>
      <c r="C24" s="1535">
        <f t="shared" ref="C24:I24" si="9">+C19-C23</f>
        <v>0</v>
      </c>
      <c r="D24" s="1536">
        <f t="shared" si="9"/>
        <v>0</v>
      </c>
      <c r="E24" s="1320">
        <f t="shared" si="9"/>
        <v>0</v>
      </c>
      <c r="F24" s="1320">
        <f t="shared" si="9"/>
        <v>0</v>
      </c>
      <c r="G24" s="1320">
        <f t="shared" si="9"/>
        <v>0</v>
      </c>
      <c r="H24" s="1320">
        <f t="shared" si="9"/>
        <v>0</v>
      </c>
      <c r="I24" s="1321">
        <f t="shared" si="9"/>
        <v>0</v>
      </c>
    </row>
    <row r="26" spans="1:9" hidden="1">
      <c r="D26" s="118">
        <f>+'[6]1.1.mell._ÖNK_Mérleg2014'!E65</f>
        <v>2608911</v>
      </c>
      <c r="E26" s="118">
        <f>+'[6]1.2.mell._PH_Mérleg2014'!E65</f>
        <v>42075</v>
      </c>
      <c r="F26" s="118">
        <f>+'[6]1.3.mell._HVÓBKI_Mérleg2014'!E65</f>
        <v>31566</v>
      </c>
      <c r="G26" s="118" t="e">
        <f>+'[6]1.4.mell._HKK_Mérleg2014'!D65</f>
        <v>#REF!</v>
      </c>
      <c r="H26" s="118">
        <f>+'[6]1.4.mell._HKK_Mérleg2014'!E65</f>
        <v>7274</v>
      </c>
      <c r="I26" s="118">
        <f>+'[6]1.5.mell._MŐSZ_Mérleg2014'!E65</f>
        <v>0</v>
      </c>
    </row>
    <row r="27" spans="1:9" hidden="1">
      <c r="D27" s="118">
        <f>+'[6]1.1.mell._ÖNK_Mérleg2014'!E165</f>
        <v>1511926</v>
      </c>
      <c r="E27" s="118">
        <f>+'[6]1.2.mell._PH_Mérleg2014'!E165</f>
        <v>299391</v>
      </c>
      <c r="F27" s="118">
        <f>+'[6]1.3.mell._HVÓBKI_Mérleg2014'!E165</f>
        <v>400777</v>
      </c>
      <c r="G27" s="118" t="e">
        <f>+'[6]1.4.mell._HKK_Mérleg2014'!D165</f>
        <v>#REF!</v>
      </c>
      <c r="H27" s="118">
        <f>+'[6]1.4.mell._HKK_Mérleg2014'!E165</f>
        <v>78096</v>
      </c>
      <c r="I27" s="118">
        <f>+'[6]1.5.mell._MŐSZ_Mérleg2014'!E165</f>
        <v>4890</v>
      </c>
    </row>
    <row r="28" spans="1:9" hidden="1">
      <c r="D28" s="118">
        <f>+'[6]1.1.mell._ÖNK_Mérleg2014'!E92</f>
        <v>355925</v>
      </c>
      <c r="E28" s="118">
        <f>+'[6]1.2.mell._PH_Mérleg2014'!E92</f>
        <v>258886</v>
      </c>
      <c r="F28" s="118">
        <f>+'[6]1.3.mell._HVÓBKI_Mérleg2014'!E92</f>
        <v>369677</v>
      </c>
      <c r="G28" s="118" t="e">
        <f>+'[6]1.4.mell._HKK_Mérleg2014'!D92</f>
        <v>#REF!</v>
      </c>
      <c r="H28" s="118">
        <f>+'[6]1.4.mell._HKK_Mérleg2014'!E92</f>
        <v>71386</v>
      </c>
      <c r="I28" s="118">
        <f>+'[6]1.5.mell._MŐSZ_Mérleg2014'!E92</f>
        <v>4894</v>
      </c>
    </row>
    <row r="29" spans="1:9" hidden="1">
      <c r="D29" s="118">
        <f>+'[6]1.1.mell._ÖNK_Mérleg2014'!E192</f>
        <v>841906</v>
      </c>
    </row>
    <row r="30" spans="1:9" hidden="1">
      <c r="D30" s="118">
        <f t="shared" ref="D30:I31" si="10">+D26-D6</f>
        <v>-581470</v>
      </c>
      <c r="E30" s="118">
        <f t="shared" si="10"/>
        <v>-10387</v>
      </c>
      <c r="F30" s="118">
        <f t="shared" si="10"/>
        <v>17332</v>
      </c>
      <c r="G30" s="118" t="e">
        <f t="shared" si="10"/>
        <v>#REF!</v>
      </c>
      <c r="H30" s="118">
        <f t="shared" si="10"/>
        <v>7274</v>
      </c>
      <c r="I30" s="118">
        <f t="shared" si="10"/>
        <v>0</v>
      </c>
    </row>
    <row r="31" spans="1:9" hidden="1">
      <c r="D31" s="118">
        <f t="shared" si="10"/>
        <v>-532093</v>
      </c>
      <c r="E31" s="118">
        <f t="shared" si="10"/>
        <v>-119265</v>
      </c>
      <c r="F31" s="118">
        <f t="shared" si="10"/>
        <v>-852</v>
      </c>
      <c r="G31" s="118" t="e">
        <f t="shared" si="10"/>
        <v>#REF!</v>
      </c>
      <c r="H31" s="118">
        <f t="shared" si="10"/>
        <v>67656</v>
      </c>
      <c r="I31" s="118">
        <f t="shared" si="10"/>
        <v>-113292</v>
      </c>
    </row>
    <row r="32" spans="1:9" hidden="1">
      <c r="D32" s="118">
        <f t="shared" ref="D32:I33" si="11">+D28-D9</f>
        <v>-2786021</v>
      </c>
      <c r="E32" s="118">
        <f t="shared" si="11"/>
        <v>-129939</v>
      </c>
      <c r="F32" s="118">
        <f t="shared" si="11"/>
        <v>-17828</v>
      </c>
      <c r="G32" s="118" t="e">
        <f t="shared" si="11"/>
        <v>#REF!</v>
      </c>
      <c r="H32" s="118">
        <f t="shared" si="11"/>
        <v>60922</v>
      </c>
      <c r="I32" s="118">
        <f t="shared" si="11"/>
        <v>-113328</v>
      </c>
    </row>
    <row r="33" spans="4:9" hidden="1">
      <c r="D33" s="118">
        <f t="shared" si="11"/>
        <v>-138808</v>
      </c>
      <c r="E33" s="118">
        <f t="shared" si="11"/>
        <v>0</v>
      </c>
      <c r="F33" s="118">
        <f t="shared" si="11"/>
        <v>0</v>
      </c>
      <c r="G33" s="118">
        <f t="shared" si="11"/>
        <v>0</v>
      </c>
      <c r="H33" s="118">
        <f t="shared" si="11"/>
        <v>0</v>
      </c>
      <c r="I33" s="118">
        <f t="shared" si="11"/>
        <v>0</v>
      </c>
    </row>
  </sheetData>
  <mergeCells count="1">
    <mergeCell ref="A2:I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4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R65"/>
  <sheetViews>
    <sheetView zoomScaleNormal="100" workbookViewId="0"/>
  </sheetViews>
  <sheetFormatPr defaultRowHeight="12.75"/>
  <cols>
    <col min="1" max="1" width="5.140625" style="1486" customWidth="1"/>
    <col min="2" max="3" width="9.140625" style="1486"/>
    <col min="4" max="4" width="6.28515625" style="1486" customWidth="1"/>
    <col min="5" max="5" width="63.28515625" style="1486" customWidth="1"/>
    <col min="6" max="6" width="9.42578125" style="1486" bestFit="1" customWidth="1"/>
    <col min="7" max="7" width="8" style="1486" customWidth="1"/>
    <col min="8" max="8" width="8.5703125" style="1542" customWidth="1"/>
    <col min="9" max="9" width="5.85546875" style="1486" customWidth="1"/>
    <col min="10" max="10" width="10.5703125" style="1542" customWidth="1"/>
    <col min="11" max="11" width="11.140625" style="1486" customWidth="1"/>
    <col min="12" max="13" width="9.140625" style="1486"/>
    <col min="14" max="18" width="0" style="1486" hidden="1" customWidth="1"/>
    <col min="19" max="254" width="9.140625" style="1486"/>
    <col min="255" max="255" width="5.140625" style="1486" customWidth="1"/>
    <col min="256" max="257" width="9.140625" style="1486"/>
    <col min="258" max="258" width="6.28515625" style="1486" customWidth="1"/>
    <col min="259" max="259" width="60.42578125" style="1486" customWidth="1"/>
    <col min="260" max="260" width="8" style="1486" bestFit="1" customWidth="1"/>
    <col min="261" max="261" width="8" style="1486" customWidth="1"/>
    <col min="262" max="262" width="7.7109375" style="1486" customWidth="1"/>
    <col min="263" max="263" width="5.85546875" style="1486" customWidth="1"/>
    <col min="264" max="264" width="8" style="1486" bestFit="1" customWidth="1"/>
    <col min="265" max="265" width="11.140625" style="1486" customWidth="1"/>
    <col min="266" max="267" width="0" style="1486" hidden="1" customWidth="1"/>
    <col min="268" max="510" width="9.140625" style="1486"/>
    <col min="511" max="511" width="5.140625" style="1486" customWidth="1"/>
    <col min="512" max="513" width="9.140625" style="1486"/>
    <col min="514" max="514" width="6.28515625" style="1486" customWidth="1"/>
    <col min="515" max="515" width="60.42578125" style="1486" customWidth="1"/>
    <col min="516" max="516" width="8" style="1486" bestFit="1" customWidth="1"/>
    <col min="517" max="517" width="8" style="1486" customWidth="1"/>
    <col min="518" max="518" width="7.7109375" style="1486" customWidth="1"/>
    <col min="519" max="519" width="5.85546875" style="1486" customWidth="1"/>
    <col min="520" max="520" width="8" style="1486" bestFit="1" customWidth="1"/>
    <col min="521" max="521" width="11.140625" style="1486" customWidth="1"/>
    <col min="522" max="523" width="0" style="1486" hidden="1" customWidth="1"/>
    <col min="524" max="766" width="9.140625" style="1486"/>
    <col min="767" max="767" width="5.140625" style="1486" customWidth="1"/>
    <col min="768" max="769" width="9.140625" style="1486"/>
    <col min="770" max="770" width="6.28515625" style="1486" customWidth="1"/>
    <col min="771" max="771" width="60.42578125" style="1486" customWidth="1"/>
    <col min="772" max="772" width="8" style="1486" bestFit="1" customWidth="1"/>
    <col min="773" max="773" width="8" style="1486" customWidth="1"/>
    <col min="774" max="774" width="7.7109375" style="1486" customWidth="1"/>
    <col min="775" max="775" width="5.85546875" style="1486" customWidth="1"/>
    <col min="776" max="776" width="8" style="1486" bestFit="1" customWidth="1"/>
    <col min="777" max="777" width="11.140625" style="1486" customWidth="1"/>
    <col min="778" max="779" width="0" style="1486" hidden="1" customWidth="1"/>
    <col min="780" max="1022" width="9.140625" style="1486"/>
    <col min="1023" max="1023" width="5.140625" style="1486" customWidth="1"/>
    <col min="1024" max="1025" width="9.140625" style="1486"/>
    <col min="1026" max="1026" width="6.28515625" style="1486" customWidth="1"/>
    <col min="1027" max="1027" width="60.42578125" style="1486" customWidth="1"/>
    <col min="1028" max="1028" width="8" style="1486" bestFit="1" customWidth="1"/>
    <col min="1029" max="1029" width="8" style="1486" customWidth="1"/>
    <col min="1030" max="1030" width="7.7109375" style="1486" customWidth="1"/>
    <col min="1031" max="1031" width="5.85546875" style="1486" customWidth="1"/>
    <col min="1032" max="1032" width="8" style="1486" bestFit="1" customWidth="1"/>
    <col min="1033" max="1033" width="11.140625" style="1486" customWidth="1"/>
    <col min="1034" max="1035" width="0" style="1486" hidden="1" customWidth="1"/>
    <col min="1036" max="1278" width="9.140625" style="1486"/>
    <col min="1279" max="1279" width="5.140625" style="1486" customWidth="1"/>
    <col min="1280" max="1281" width="9.140625" style="1486"/>
    <col min="1282" max="1282" width="6.28515625" style="1486" customWidth="1"/>
    <col min="1283" max="1283" width="60.42578125" style="1486" customWidth="1"/>
    <col min="1284" max="1284" width="8" style="1486" bestFit="1" customWidth="1"/>
    <col min="1285" max="1285" width="8" style="1486" customWidth="1"/>
    <col min="1286" max="1286" width="7.7109375" style="1486" customWidth="1"/>
    <col min="1287" max="1287" width="5.85546875" style="1486" customWidth="1"/>
    <col min="1288" max="1288" width="8" style="1486" bestFit="1" customWidth="1"/>
    <col min="1289" max="1289" width="11.140625" style="1486" customWidth="1"/>
    <col min="1290" max="1291" width="0" style="1486" hidden="1" customWidth="1"/>
    <col min="1292" max="1534" width="9.140625" style="1486"/>
    <col min="1535" max="1535" width="5.140625" style="1486" customWidth="1"/>
    <col min="1536" max="1537" width="9.140625" style="1486"/>
    <col min="1538" max="1538" width="6.28515625" style="1486" customWidth="1"/>
    <col min="1539" max="1539" width="60.42578125" style="1486" customWidth="1"/>
    <col min="1540" max="1540" width="8" style="1486" bestFit="1" customWidth="1"/>
    <col min="1541" max="1541" width="8" style="1486" customWidth="1"/>
    <col min="1542" max="1542" width="7.7109375" style="1486" customWidth="1"/>
    <col min="1543" max="1543" width="5.85546875" style="1486" customWidth="1"/>
    <col min="1544" max="1544" width="8" style="1486" bestFit="1" customWidth="1"/>
    <col min="1545" max="1545" width="11.140625" style="1486" customWidth="1"/>
    <col min="1546" max="1547" width="0" style="1486" hidden="1" customWidth="1"/>
    <col min="1548" max="1790" width="9.140625" style="1486"/>
    <col min="1791" max="1791" width="5.140625" style="1486" customWidth="1"/>
    <col min="1792" max="1793" width="9.140625" style="1486"/>
    <col min="1794" max="1794" width="6.28515625" style="1486" customWidth="1"/>
    <col min="1795" max="1795" width="60.42578125" style="1486" customWidth="1"/>
    <col min="1796" max="1796" width="8" style="1486" bestFit="1" customWidth="1"/>
    <col min="1797" max="1797" width="8" style="1486" customWidth="1"/>
    <col min="1798" max="1798" width="7.7109375" style="1486" customWidth="1"/>
    <col min="1799" max="1799" width="5.85546875" style="1486" customWidth="1"/>
    <col min="1800" max="1800" width="8" style="1486" bestFit="1" customWidth="1"/>
    <col min="1801" max="1801" width="11.140625" style="1486" customWidth="1"/>
    <col min="1802" max="1803" width="0" style="1486" hidden="1" customWidth="1"/>
    <col min="1804" max="2046" width="9.140625" style="1486"/>
    <col min="2047" max="2047" width="5.140625" style="1486" customWidth="1"/>
    <col min="2048" max="2049" width="9.140625" style="1486"/>
    <col min="2050" max="2050" width="6.28515625" style="1486" customWidth="1"/>
    <col min="2051" max="2051" width="60.42578125" style="1486" customWidth="1"/>
    <col min="2052" max="2052" width="8" style="1486" bestFit="1" customWidth="1"/>
    <col min="2053" max="2053" width="8" style="1486" customWidth="1"/>
    <col min="2054" max="2054" width="7.7109375" style="1486" customWidth="1"/>
    <col min="2055" max="2055" width="5.85546875" style="1486" customWidth="1"/>
    <col min="2056" max="2056" width="8" style="1486" bestFit="1" customWidth="1"/>
    <col min="2057" max="2057" width="11.140625" style="1486" customWidth="1"/>
    <col min="2058" max="2059" width="0" style="1486" hidden="1" customWidth="1"/>
    <col min="2060" max="2302" width="9.140625" style="1486"/>
    <col min="2303" max="2303" width="5.140625" style="1486" customWidth="1"/>
    <col min="2304" max="2305" width="9.140625" style="1486"/>
    <col min="2306" max="2306" width="6.28515625" style="1486" customWidth="1"/>
    <col min="2307" max="2307" width="60.42578125" style="1486" customWidth="1"/>
    <col min="2308" max="2308" width="8" style="1486" bestFit="1" customWidth="1"/>
    <col min="2309" max="2309" width="8" style="1486" customWidth="1"/>
    <col min="2310" max="2310" width="7.7109375" style="1486" customWidth="1"/>
    <col min="2311" max="2311" width="5.85546875" style="1486" customWidth="1"/>
    <col min="2312" max="2312" width="8" style="1486" bestFit="1" customWidth="1"/>
    <col min="2313" max="2313" width="11.140625" style="1486" customWidth="1"/>
    <col min="2314" max="2315" width="0" style="1486" hidden="1" customWidth="1"/>
    <col min="2316" max="2558" width="9.140625" style="1486"/>
    <col min="2559" max="2559" width="5.140625" style="1486" customWidth="1"/>
    <col min="2560" max="2561" width="9.140625" style="1486"/>
    <col min="2562" max="2562" width="6.28515625" style="1486" customWidth="1"/>
    <col min="2563" max="2563" width="60.42578125" style="1486" customWidth="1"/>
    <col min="2564" max="2564" width="8" style="1486" bestFit="1" customWidth="1"/>
    <col min="2565" max="2565" width="8" style="1486" customWidth="1"/>
    <col min="2566" max="2566" width="7.7109375" style="1486" customWidth="1"/>
    <col min="2567" max="2567" width="5.85546875" style="1486" customWidth="1"/>
    <col min="2568" max="2568" width="8" style="1486" bestFit="1" customWidth="1"/>
    <col min="2569" max="2569" width="11.140625" style="1486" customWidth="1"/>
    <col min="2570" max="2571" width="0" style="1486" hidden="1" customWidth="1"/>
    <col min="2572" max="2814" width="9.140625" style="1486"/>
    <col min="2815" max="2815" width="5.140625" style="1486" customWidth="1"/>
    <col min="2816" max="2817" width="9.140625" style="1486"/>
    <col min="2818" max="2818" width="6.28515625" style="1486" customWidth="1"/>
    <col min="2819" max="2819" width="60.42578125" style="1486" customWidth="1"/>
    <col min="2820" max="2820" width="8" style="1486" bestFit="1" customWidth="1"/>
    <col min="2821" max="2821" width="8" style="1486" customWidth="1"/>
    <col min="2822" max="2822" width="7.7109375" style="1486" customWidth="1"/>
    <col min="2823" max="2823" width="5.85546875" style="1486" customWidth="1"/>
    <col min="2824" max="2824" width="8" style="1486" bestFit="1" customWidth="1"/>
    <col min="2825" max="2825" width="11.140625" style="1486" customWidth="1"/>
    <col min="2826" max="2827" width="0" style="1486" hidden="1" customWidth="1"/>
    <col min="2828" max="3070" width="9.140625" style="1486"/>
    <col min="3071" max="3071" width="5.140625" style="1486" customWidth="1"/>
    <col min="3072" max="3073" width="9.140625" style="1486"/>
    <col min="3074" max="3074" width="6.28515625" style="1486" customWidth="1"/>
    <col min="3075" max="3075" width="60.42578125" style="1486" customWidth="1"/>
    <col min="3076" max="3076" width="8" style="1486" bestFit="1" customWidth="1"/>
    <col min="3077" max="3077" width="8" style="1486" customWidth="1"/>
    <col min="3078" max="3078" width="7.7109375" style="1486" customWidth="1"/>
    <col min="3079" max="3079" width="5.85546875" style="1486" customWidth="1"/>
    <col min="3080" max="3080" width="8" style="1486" bestFit="1" customWidth="1"/>
    <col min="3081" max="3081" width="11.140625" style="1486" customWidth="1"/>
    <col min="3082" max="3083" width="0" style="1486" hidden="1" customWidth="1"/>
    <col min="3084" max="3326" width="9.140625" style="1486"/>
    <col min="3327" max="3327" width="5.140625" style="1486" customWidth="1"/>
    <col min="3328" max="3329" width="9.140625" style="1486"/>
    <col min="3330" max="3330" width="6.28515625" style="1486" customWidth="1"/>
    <col min="3331" max="3331" width="60.42578125" style="1486" customWidth="1"/>
    <col min="3332" max="3332" width="8" style="1486" bestFit="1" customWidth="1"/>
    <col min="3333" max="3333" width="8" style="1486" customWidth="1"/>
    <col min="3334" max="3334" width="7.7109375" style="1486" customWidth="1"/>
    <col min="3335" max="3335" width="5.85546875" style="1486" customWidth="1"/>
    <col min="3336" max="3336" width="8" style="1486" bestFit="1" customWidth="1"/>
    <col min="3337" max="3337" width="11.140625" style="1486" customWidth="1"/>
    <col min="3338" max="3339" width="0" style="1486" hidden="1" customWidth="1"/>
    <col min="3340" max="3582" width="9.140625" style="1486"/>
    <col min="3583" max="3583" width="5.140625" style="1486" customWidth="1"/>
    <col min="3584" max="3585" width="9.140625" style="1486"/>
    <col min="3586" max="3586" width="6.28515625" style="1486" customWidth="1"/>
    <col min="3587" max="3587" width="60.42578125" style="1486" customWidth="1"/>
    <col min="3588" max="3588" width="8" style="1486" bestFit="1" customWidth="1"/>
    <col min="3589" max="3589" width="8" style="1486" customWidth="1"/>
    <col min="3590" max="3590" width="7.7109375" style="1486" customWidth="1"/>
    <col min="3591" max="3591" width="5.85546875" style="1486" customWidth="1"/>
    <col min="3592" max="3592" width="8" style="1486" bestFit="1" customWidth="1"/>
    <col min="3593" max="3593" width="11.140625" style="1486" customWidth="1"/>
    <col min="3594" max="3595" width="0" style="1486" hidden="1" customWidth="1"/>
    <col min="3596" max="3838" width="9.140625" style="1486"/>
    <col min="3839" max="3839" width="5.140625" style="1486" customWidth="1"/>
    <col min="3840" max="3841" width="9.140625" style="1486"/>
    <col min="3842" max="3842" width="6.28515625" style="1486" customWidth="1"/>
    <col min="3843" max="3843" width="60.42578125" style="1486" customWidth="1"/>
    <col min="3844" max="3844" width="8" style="1486" bestFit="1" customWidth="1"/>
    <col min="3845" max="3845" width="8" style="1486" customWidth="1"/>
    <col min="3846" max="3846" width="7.7109375" style="1486" customWidth="1"/>
    <col min="3847" max="3847" width="5.85546875" style="1486" customWidth="1"/>
    <col min="3848" max="3848" width="8" style="1486" bestFit="1" customWidth="1"/>
    <col min="3849" max="3849" width="11.140625" style="1486" customWidth="1"/>
    <col min="3850" max="3851" width="0" style="1486" hidden="1" customWidth="1"/>
    <col min="3852" max="4094" width="9.140625" style="1486"/>
    <col min="4095" max="4095" width="5.140625" style="1486" customWidth="1"/>
    <col min="4096" max="4097" width="9.140625" style="1486"/>
    <col min="4098" max="4098" width="6.28515625" style="1486" customWidth="1"/>
    <col min="4099" max="4099" width="60.42578125" style="1486" customWidth="1"/>
    <col min="4100" max="4100" width="8" style="1486" bestFit="1" customWidth="1"/>
    <col min="4101" max="4101" width="8" style="1486" customWidth="1"/>
    <col min="4102" max="4102" width="7.7109375" style="1486" customWidth="1"/>
    <col min="4103" max="4103" width="5.85546875" style="1486" customWidth="1"/>
    <col min="4104" max="4104" width="8" style="1486" bestFit="1" customWidth="1"/>
    <col min="4105" max="4105" width="11.140625" style="1486" customWidth="1"/>
    <col min="4106" max="4107" width="0" style="1486" hidden="1" customWidth="1"/>
    <col min="4108" max="4350" width="9.140625" style="1486"/>
    <col min="4351" max="4351" width="5.140625" style="1486" customWidth="1"/>
    <col min="4352" max="4353" width="9.140625" style="1486"/>
    <col min="4354" max="4354" width="6.28515625" style="1486" customWidth="1"/>
    <col min="4355" max="4355" width="60.42578125" style="1486" customWidth="1"/>
    <col min="4356" max="4356" width="8" style="1486" bestFit="1" customWidth="1"/>
    <col min="4357" max="4357" width="8" style="1486" customWidth="1"/>
    <col min="4358" max="4358" width="7.7109375" style="1486" customWidth="1"/>
    <col min="4359" max="4359" width="5.85546875" style="1486" customWidth="1"/>
    <col min="4360" max="4360" width="8" style="1486" bestFit="1" customWidth="1"/>
    <col min="4361" max="4361" width="11.140625" style="1486" customWidth="1"/>
    <col min="4362" max="4363" width="0" style="1486" hidden="1" customWidth="1"/>
    <col min="4364" max="4606" width="9.140625" style="1486"/>
    <col min="4607" max="4607" width="5.140625" style="1486" customWidth="1"/>
    <col min="4608" max="4609" width="9.140625" style="1486"/>
    <col min="4610" max="4610" width="6.28515625" style="1486" customWidth="1"/>
    <col min="4611" max="4611" width="60.42578125" style="1486" customWidth="1"/>
    <col min="4612" max="4612" width="8" style="1486" bestFit="1" customWidth="1"/>
    <col min="4613" max="4613" width="8" style="1486" customWidth="1"/>
    <col min="4614" max="4614" width="7.7109375" style="1486" customWidth="1"/>
    <col min="4615" max="4615" width="5.85546875" style="1486" customWidth="1"/>
    <col min="4616" max="4616" width="8" style="1486" bestFit="1" customWidth="1"/>
    <col min="4617" max="4617" width="11.140625" style="1486" customWidth="1"/>
    <col min="4618" max="4619" width="0" style="1486" hidden="1" customWidth="1"/>
    <col min="4620" max="4862" width="9.140625" style="1486"/>
    <col min="4863" max="4863" width="5.140625" style="1486" customWidth="1"/>
    <col min="4864" max="4865" width="9.140625" style="1486"/>
    <col min="4866" max="4866" width="6.28515625" style="1486" customWidth="1"/>
    <col min="4867" max="4867" width="60.42578125" style="1486" customWidth="1"/>
    <col min="4868" max="4868" width="8" style="1486" bestFit="1" customWidth="1"/>
    <col min="4869" max="4869" width="8" style="1486" customWidth="1"/>
    <col min="4870" max="4870" width="7.7109375" style="1486" customWidth="1"/>
    <col min="4871" max="4871" width="5.85546875" style="1486" customWidth="1"/>
    <col min="4872" max="4872" width="8" style="1486" bestFit="1" customWidth="1"/>
    <col min="4873" max="4873" width="11.140625" style="1486" customWidth="1"/>
    <col min="4874" max="4875" width="0" style="1486" hidden="1" customWidth="1"/>
    <col min="4876" max="5118" width="9.140625" style="1486"/>
    <col min="5119" max="5119" width="5.140625" style="1486" customWidth="1"/>
    <col min="5120" max="5121" width="9.140625" style="1486"/>
    <col min="5122" max="5122" width="6.28515625" style="1486" customWidth="1"/>
    <col min="5123" max="5123" width="60.42578125" style="1486" customWidth="1"/>
    <col min="5124" max="5124" width="8" style="1486" bestFit="1" customWidth="1"/>
    <col min="5125" max="5125" width="8" style="1486" customWidth="1"/>
    <col min="5126" max="5126" width="7.7109375" style="1486" customWidth="1"/>
    <col min="5127" max="5127" width="5.85546875" style="1486" customWidth="1"/>
    <col min="5128" max="5128" width="8" style="1486" bestFit="1" customWidth="1"/>
    <col min="5129" max="5129" width="11.140625" style="1486" customWidth="1"/>
    <col min="5130" max="5131" width="0" style="1486" hidden="1" customWidth="1"/>
    <col min="5132" max="5374" width="9.140625" style="1486"/>
    <col min="5375" max="5375" width="5.140625" style="1486" customWidth="1"/>
    <col min="5376" max="5377" width="9.140625" style="1486"/>
    <col min="5378" max="5378" width="6.28515625" style="1486" customWidth="1"/>
    <col min="5379" max="5379" width="60.42578125" style="1486" customWidth="1"/>
    <col min="5380" max="5380" width="8" style="1486" bestFit="1" customWidth="1"/>
    <col min="5381" max="5381" width="8" style="1486" customWidth="1"/>
    <col min="5382" max="5382" width="7.7109375" style="1486" customWidth="1"/>
    <col min="5383" max="5383" width="5.85546875" style="1486" customWidth="1"/>
    <col min="5384" max="5384" width="8" style="1486" bestFit="1" customWidth="1"/>
    <col min="5385" max="5385" width="11.140625" style="1486" customWidth="1"/>
    <col min="5386" max="5387" width="0" style="1486" hidden="1" customWidth="1"/>
    <col min="5388" max="5630" width="9.140625" style="1486"/>
    <col min="5631" max="5631" width="5.140625" style="1486" customWidth="1"/>
    <col min="5632" max="5633" width="9.140625" style="1486"/>
    <col min="5634" max="5634" width="6.28515625" style="1486" customWidth="1"/>
    <col min="5635" max="5635" width="60.42578125" style="1486" customWidth="1"/>
    <col min="5636" max="5636" width="8" style="1486" bestFit="1" customWidth="1"/>
    <col min="5637" max="5637" width="8" style="1486" customWidth="1"/>
    <col min="5638" max="5638" width="7.7109375" style="1486" customWidth="1"/>
    <col min="5639" max="5639" width="5.85546875" style="1486" customWidth="1"/>
    <col min="5640" max="5640" width="8" style="1486" bestFit="1" customWidth="1"/>
    <col min="5641" max="5641" width="11.140625" style="1486" customWidth="1"/>
    <col min="5642" max="5643" width="0" style="1486" hidden="1" customWidth="1"/>
    <col min="5644" max="5886" width="9.140625" style="1486"/>
    <col min="5887" max="5887" width="5.140625" style="1486" customWidth="1"/>
    <col min="5888" max="5889" width="9.140625" style="1486"/>
    <col min="5890" max="5890" width="6.28515625" style="1486" customWidth="1"/>
    <col min="5891" max="5891" width="60.42578125" style="1486" customWidth="1"/>
    <col min="5892" max="5892" width="8" style="1486" bestFit="1" customWidth="1"/>
    <col min="5893" max="5893" width="8" style="1486" customWidth="1"/>
    <col min="5894" max="5894" width="7.7109375" style="1486" customWidth="1"/>
    <col min="5895" max="5895" width="5.85546875" style="1486" customWidth="1"/>
    <col min="5896" max="5896" width="8" style="1486" bestFit="1" customWidth="1"/>
    <col min="5897" max="5897" width="11.140625" style="1486" customWidth="1"/>
    <col min="5898" max="5899" width="0" style="1486" hidden="1" customWidth="1"/>
    <col min="5900" max="6142" width="9.140625" style="1486"/>
    <col min="6143" max="6143" width="5.140625" style="1486" customWidth="1"/>
    <col min="6144" max="6145" width="9.140625" style="1486"/>
    <col min="6146" max="6146" width="6.28515625" style="1486" customWidth="1"/>
    <col min="6147" max="6147" width="60.42578125" style="1486" customWidth="1"/>
    <col min="6148" max="6148" width="8" style="1486" bestFit="1" customWidth="1"/>
    <col min="6149" max="6149" width="8" style="1486" customWidth="1"/>
    <col min="6150" max="6150" width="7.7109375" style="1486" customWidth="1"/>
    <col min="6151" max="6151" width="5.85546875" style="1486" customWidth="1"/>
    <col min="6152" max="6152" width="8" style="1486" bestFit="1" customWidth="1"/>
    <col min="6153" max="6153" width="11.140625" style="1486" customWidth="1"/>
    <col min="6154" max="6155" width="0" style="1486" hidden="1" customWidth="1"/>
    <col min="6156" max="6398" width="9.140625" style="1486"/>
    <col min="6399" max="6399" width="5.140625" style="1486" customWidth="1"/>
    <col min="6400" max="6401" width="9.140625" style="1486"/>
    <col min="6402" max="6402" width="6.28515625" style="1486" customWidth="1"/>
    <col min="6403" max="6403" width="60.42578125" style="1486" customWidth="1"/>
    <col min="6404" max="6404" width="8" style="1486" bestFit="1" customWidth="1"/>
    <col min="6405" max="6405" width="8" style="1486" customWidth="1"/>
    <col min="6406" max="6406" width="7.7109375" style="1486" customWidth="1"/>
    <col min="6407" max="6407" width="5.85546875" style="1486" customWidth="1"/>
    <col min="6408" max="6408" width="8" style="1486" bestFit="1" customWidth="1"/>
    <col min="6409" max="6409" width="11.140625" style="1486" customWidth="1"/>
    <col min="6410" max="6411" width="0" style="1486" hidden="1" customWidth="1"/>
    <col min="6412" max="6654" width="9.140625" style="1486"/>
    <col min="6655" max="6655" width="5.140625" style="1486" customWidth="1"/>
    <col min="6656" max="6657" width="9.140625" style="1486"/>
    <col min="6658" max="6658" width="6.28515625" style="1486" customWidth="1"/>
    <col min="6659" max="6659" width="60.42578125" style="1486" customWidth="1"/>
    <col min="6660" max="6660" width="8" style="1486" bestFit="1" customWidth="1"/>
    <col min="6661" max="6661" width="8" style="1486" customWidth="1"/>
    <col min="6662" max="6662" width="7.7109375" style="1486" customWidth="1"/>
    <col min="6663" max="6663" width="5.85546875" style="1486" customWidth="1"/>
    <col min="6664" max="6664" width="8" style="1486" bestFit="1" customWidth="1"/>
    <col min="6665" max="6665" width="11.140625" style="1486" customWidth="1"/>
    <col min="6666" max="6667" width="0" style="1486" hidden="1" customWidth="1"/>
    <col min="6668" max="6910" width="9.140625" style="1486"/>
    <col min="6911" max="6911" width="5.140625" style="1486" customWidth="1"/>
    <col min="6912" max="6913" width="9.140625" style="1486"/>
    <col min="6914" max="6914" width="6.28515625" style="1486" customWidth="1"/>
    <col min="6915" max="6915" width="60.42578125" style="1486" customWidth="1"/>
    <col min="6916" max="6916" width="8" style="1486" bestFit="1" customWidth="1"/>
    <col min="6917" max="6917" width="8" style="1486" customWidth="1"/>
    <col min="6918" max="6918" width="7.7109375" style="1486" customWidth="1"/>
    <col min="6919" max="6919" width="5.85546875" style="1486" customWidth="1"/>
    <col min="6920" max="6920" width="8" style="1486" bestFit="1" customWidth="1"/>
    <col min="6921" max="6921" width="11.140625" style="1486" customWidth="1"/>
    <col min="6922" max="6923" width="0" style="1486" hidden="1" customWidth="1"/>
    <col min="6924" max="7166" width="9.140625" style="1486"/>
    <col min="7167" max="7167" width="5.140625" style="1486" customWidth="1"/>
    <col min="7168" max="7169" width="9.140625" style="1486"/>
    <col min="7170" max="7170" width="6.28515625" style="1486" customWidth="1"/>
    <col min="7171" max="7171" width="60.42578125" style="1486" customWidth="1"/>
    <col min="7172" max="7172" width="8" style="1486" bestFit="1" customWidth="1"/>
    <col min="7173" max="7173" width="8" style="1486" customWidth="1"/>
    <col min="7174" max="7174" width="7.7109375" style="1486" customWidth="1"/>
    <col min="7175" max="7175" width="5.85546875" style="1486" customWidth="1"/>
    <col min="7176" max="7176" width="8" style="1486" bestFit="1" customWidth="1"/>
    <col min="7177" max="7177" width="11.140625" style="1486" customWidth="1"/>
    <col min="7178" max="7179" width="0" style="1486" hidden="1" customWidth="1"/>
    <col min="7180" max="7422" width="9.140625" style="1486"/>
    <col min="7423" max="7423" width="5.140625" style="1486" customWidth="1"/>
    <col min="7424" max="7425" width="9.140625" style="1486"/>
    <col min="7426" max="7426" width="6.28515625" style="1486" customWidth="1"/>
    <col min="7427" max="7427" width="60.42578125" style="1486" customWidth="1"/>
    <col min="7428" max="7428" width="8" style="1486" bestFit="1" customWidth="1"/>
    <col min="7429" max="7429" width="8" style="1486" customWidth="1"/>
    <col min="7430" max="7430" width="7.7109375" style="1486" customWidth="1"/>
    <col min="7431" max="7431" width="5.85546875" style="1486" customWidth="1"/>
    <col min="7432" max="7432" width="8" style="1486" bestFit="1" customWidth="1"/>
    <col min="7433" max="7433" width="11.140625" style="1486" customWidth="1"/>
    <col min="7434" max="7435" width="0" style="1486" hidden="1" customWidth="1"/>
    <col min="7436" max="7678" width="9.140625" style="1486"/>
    <col min="7679" max="7679" width="5.140625" style="1486" customWidth="1"/>
    <col min="7680" max="7681" width="9.140625" style="1486"/>
    <col min="7682" max="7682" width="6.28515625" style="1486" customWidth="1"/>
    <col min="7683" max="7683" width="60.42578125" style="1486" customWidth="1"/>
    <col min="7684" max="7684" width="8" style="1486" bestFit="1" customWidth="1"/>
    <col min="7685" max="7685" width="8" style="1486" customWidth="1"/>
    <col min="7686" max="7686" width="7.7109375" style="1486" customWidth="1"/>
    <col min="7687" max="7687" width="5.85546875" style="1486" customWidth="1"/>
    <col min="7688" max="7688" width="8" style="1486" bestFit="1" customWidth="1"/>
    <col min="7689" max="7689" width="11.140625" style="1486" customWidth="1"/>
    <col min="7690" max="7691" width="0" style="1486" hidden="1" customWidth="1"/>
    <col min="7692" max="7934" width="9.140625" style="1486"/>
    <col min="7935" max="7935" width="5.140625" style="1486" customWidth="1"/>
    <col min="7936" max="7937" width="9.140625" style="1486"/>
    <col min="7938" max="7938" width="6.28515625" style="1486" customWidth="1"/>
    <col min="7939" max="7939" width="60.42578125" style="1486" customWidth="1"/>
    <col min="7940" max="7940" width="8" style="1486" bestFit="1" customWidth="1"/>
    <col min="7941" max="7941" width="8" style="1486" customWidth="1"/>
    <col min="7942" max="7942" width="7.7109375" style="1486" customWidth="1"/>
    <col min="7943" max="7943" width="5.85546875" style="1486" customWidth="1"/>
    <col min="7944" max="7944" width="8" style="1486" bestFit="1" customWidth="1"/>
    <col min="7945" max="7945" width="11.140625" style="1486" customWidth="1"/>
    <col min="7946" max="7947" width="0" style="1486" hidden="1" customWidth="1"/>
    <col min="7948" max="8190" width="9.140625" style="1486"/>
    <col min="8191" max="8191" width="5.140625" style="1486" customWidth="1"/>
    <col min="8192" max="8193" width="9.140625" style="1486"/>
    <col min="8194" max="8194" width="6.28515625" style="1486" customWidth="1"/>
    <col min="8195" max="8195" width="60.42578125" style="1486" customWidth="1"/>
    <col min="8196" max="8196" width="8" style="1486" bestFit="1" customWidth="1"/>
    <col min="8197" max="8197" width="8" style="1486" customWidth="1"/>
    <col min="8198" max="8198" width="7.7109375" style="1486" customWidth="1"/>
    <col min="8199" max="8199" width="5.85546875" style="1486" customWidth="1"/>
    <col min="8200" max="8200" width="8" style="1486" bestFit="1" customWidth="1"/>
    <col min="8201" max="8201" width="11.140625" style="1486" customWidth="1"/>
    <col min="8202" max="8203" width="0" style="1486" hidden="1" customWidth="1"/>
    <col min="8204" max="8446" width="9.140625" style="1486"/>
    <col min="8447" max="8447" width="5.140625" style="1486" customWidth="1"/>
    <col min="8448" max="8449" width="9.140625" style="1486"/>
    <col min="8450" max="8450" width="6.28515625" style="1486" customWidth="1"/>
    <col min="8451" max="8451" width="60.42578125" style="1486" customWidth="1"/>
    <col min="8452" max="8452" width="8" style="1486" bestFit="1" customWidth="1"/>
    <col min="8453" max="8453" width="8" style="1486" customWidth="1"/>
    <col min="8454" max="8454" width="7.7109375" style="1486" customWidth="1"/>
    <col min="8455" max="8455" width="5.85546875" style="1486" customWidth="1"/>
    <col min="8456" max="8456" width="8" style="1486" bestFit="1" customWidth="1"/>
    <col min="8457" max="8457" width="11.140625" style="1486" customWidth="1"/>
    <col min="8458" max="8459" width="0" style="1486" hidden="1" customWidth="1"/>
    <col min="8460" max="8702" width="9.140625" style="1486"/>
    <col min="8703" max="8703" width="5.140625" style="1486" customWidth="1"/>
    <col min="8704" max="8705" width="9.140625" style="1486"/>
    <col min="8706" max="8706" width="6.28515625" style="1486" customWidth="1"/>
    <col min="8707" max="8707" width="60.42578125" style="1486" customWidth="1"/>
    <col min="8708" max="8708" width="8" style="1486" bestFit="1" customWidth="1"/>
    <col min="8709" max="8709" width="8" style="1486" customWidth="1"/>
    <col min="8710" max="8710" width="7.7109375" style="1486" customWidth="1"/>
    <col min="8711" max="8711" width="5.85546875" style="1486" customWidth="1"/>
    <col min="8712" max="8712" width="8" style="1486" bestFit="1" customWidth="1"/>
    <col min="8713" max="8713" width="11.140625" style="1486" customWidth="1"/>
    <col min="8714" max="8715" width="0" style="1486" hidden="1" customWidth="1"/>
    <col min="8716" max="8958" width="9.140625" style="1486"/>
    <col min="8959" max="8959" width="5.140625" style="1486" customWidth="1"/>
    <col min="8960" max="8961" width="9.140625" style="1486"/>
    <col min="8962" max="8962" width="6.28515625" style="1486" customWidth="1"/>
    <col min="8963" max="8963" width="60.42578125" style="1486" customWidth="1"/>
    <col min="8964" max="8964" width="8" style="1486" bestFit="1" customWidth="1"/>
    <col min="8965" max="8965" width="8" style="1486" customWidth="1"/>
    <col min="8966" max="8966" width="7.7109375" style="1486" customWidth="1"/>
    <col min="8967" max="8967" width="5.85546875" style="1486" customWidth="1"/>
    <col min="8968" max="8968" width="8" style="1486" bestFit="1" customWidth="1"/>
    <col min="8969" max="8969" width="11.140625" style="1486" customWidth="1"/>
    <col min="8970" max="8971" width="0" style="1486" hidden="1" customWidth="1"/>
    <col min="8972" max="9214" width="9.140625" style="1486"/>
    <col min="9215" max="9215" width="5.140625" style="1486" customWidth="1"/>
    <col min="9216" max="9217" width="9.140625" style="1486"/>
    <col min="9218" max="9218" width="6.28515625" style="1486" customWidth="1"/>
    <col min="9219" max="9219" width="60.42578125" style="1486" customWidth="1"/>
    <col min="9220" max="9220" width="8" style="1486" bestFit="1" customWidth="1"/>
    <col min="9221" max="9221" width="8" style="1486" customWidth="1"/>
    <col min="9222" max="9222" width="7.7109375" style="1486" customWidth="1"/>
    <col min="9223" max="9223" width="5.85546875" style="1486" customWidth="1"/>
    <col min="9224" max="9224" width="8" style="1486" bestFit="1" customWidth="1"/>
    <col min="9225" max="9225" width="11.140625" style="1486" customWidth="1"/>
    <col min="9226" max="9227" width="0" style="1486" hidden="1" customWidth="1"/>
    <col min="9228" max="9470" width="9.140625" style="1486"/>
    <col min="9471" max="9471" width="5.140625" style="1486" customWidth="1"/>
    <col min="9472" max="9473" width="9.140625" style="1486"/>
    <col min="9474" max="9474" width="6.28515625" style="1486" customWidth="1"/>
    <col min="9475" max="9475" width="60.42578125" style="1486" customWidth="1"/>
    <col min="9476" max="9476" width="8" style="1486" bestFit="1" customWidth="1"/>
    <col min="9477" max="9477" width="8" style="1486" customWidth="1"/>
    <col min="9478" max="9478" width="7.7109375" style="1486" customWidth="1"/>
    <col min="9479" max="9479" width="5.85546875" style="1486" customWidth="1"/>
    <col min="9480" max="9480" width="8" style="1486" bestFit="1" customWidth="1"/>
    <col min="9481" max="9481" width="11.140625" style="1486" customWidth="1"/>
    <col min="9482" max="9483" width="0" style="1486" hidden="1" customWidth="1"/>
    <col min="9484" max="9726" width="9.140625" style="1486"/>
    <col min="9727" max="9727" width="5.140625" style="1486" customWidth="1"/>
    <col min="9728" max="9729" width="9.140625" style="1486"/>
    <col min="9730" max="9730" width="6.28515625" style="1486" customWidth="1"/>
    <col min="9731" max="9731" width="60.42578125" style="1486" customWidth="1"/>
    <col min="9732" max="9732" width="8" style="1486" bestFit="1" customWidth="1"/>
    <col min="9733" max="9733" width="8" style="1486" customWidth="1"/>
    <col min="9734" max="9734" width="7.7109375" style="1486" customWidth="1"/>
    <col min="9735" max="9735" width="5.85546875" style="1486" customWidth="1"/>
    <col min="9736" max="9736" width="8" style="1486" bestFit="1" customWidth="1"/>
    <col min="9737" max="9737" width="11.140625" style="1486" customWidth="1"/>
    <col min="9738" max="9739" width="0" style="1486" hidden="1" customWidth="1"/>
    <col min="9740" max="9982" width="9.140625" style="1486"/>
    <col min="9983" max="9983" width="5.140625" style="1486" customWidth="1"/>
    <col min="9984" max="9985" width="9.140625" style="1486"/>
    <col min="9986" max="9986" width="6.28515625" style="1486" customWidth="1"/>
    <col min="9987" max="9987" width="60.42578125" style="1486" customWidth="1"/>
    <col min="9988" max="9988" width="8" style="1486" bestFit="1" customWidth="1"/>
    <col min="9989" max="9989" width="8" style="1486" customWidth="1"/>
    <col min="9990" max="9990" width="7.7109375" style="1486" customWidth="1"/>
    <col min="9991" max="9991" width="5.85546875" style="1486" customWidth="1"/>
    <col min="9992" max="9992" width="8" style="1486" bestFit="1" customWidth="1"/>
    <col min="9993" max="9993" width="11.140625" style="1486" customWidth="1"/>
    <col min="9994" max="9995" width="0" style="1486" hidden="1" customWidth="1"/>
    <col min="9996" max="10238" width="9.140625" style="1486"/>
    <col min="10239" max="10239" width="5.140625" style="1486" customWidth="1"/>
    <col min="10240" max="10241" width="9.140625" style="1486"/>
    <col min="10242" max="10242" width="6.28515625" style="1486" customWidth="1"/>
    <col min="10243" max="10243" width="60.42578125" style="1486" customWidth="1"/>
    <col min="10244" max="10244" width="8" style="1486" bestFit="1" customWidth="1"/>
    <col min="10245" max="10245" width="8" style="1486" customWidth="1"/>
    <col min="10246" max="10246" width="7.7109375" style="1486" customWidth="1"/>
    <col min="10247" max="10247" width="5.85546875" style="1486" customWidth="1"/>
    <col min="10248" max="10248" width="8" style="1486" bestFit="1" customWidth="1"/>
    <col min="10249" max="10249" width="11.140625" style="1486" customWidth="1"/>
    <col min="10250" max="10251" width="0" style="1486" hidden="1" customWidth="1"/>
    <col min="10252" max="10494" width="9.140625" style="1486"/>
    <col min="10495" max="10495" width="5.140625" style="1486" customWidth="1"/>
    <col min="10496" max="10497" width="9.140625" style="1486"/>
    <col min="10498" max="10498" width="6.28515625" style="1486" customWidth="1"/>
    <col min="10499" max="10499" width="60.42578125" style="1486" customWidth="1"/>
    <col min="10500" max="10500" width="8" style="1486" bestFit="1" customWidth="1"/>
    <col min="10501" max="10501" width="8" style="1486" customWidth="1"/>
    <col min="10502" max="10502" width="7.7109375" style="1486" customWidth="1"/>
    <col min="10503" max="10503" width="5.85546875" style="1486" customWidth="1"/>
    <col min="10504" max="10504" width="8" style="1486" bestFit="1" customWidth="1"/>
    <col min="10505" max="10505" width="11.140625" style="1486" customWidth="1"/>
    <col min="10506" max="10507" width="0" style="1486" hidden="1" customWidth="1"/>
    <col min="10508" max="10750" width="9.140625" style="1486"/>
    <col min="10751" max="10751" width="5.140625" style="1486" customWidth="1"/>
    <col min="10752" max="10753" width="9.140625" style="1486"/>
    <col min="10754" max="10754" width="6.28515625" style="1486" customWidth="1"/>
    <col min="10755" max="10755" width="60.42578125" style="1486" customWidth="1"/>
    <col min="10756" max="10756" width="8" style="1486" bestFit="1" customWidth="1"/>
    <col min="10757" max="10757" width="8" style="1486" customWidth="1"/>
    <col min="10758" max="10758" width="7.7109375" style="1486" customWidth="1"/>
    <col min="10759" max="10759" width="5.85546875" style="1486" customWidth="1"/>
    <col min="10760" max="10760" width="8" style="1486" bestFit="1" customWidth="1"/>
    <col min="10761" max="10761" width="11.140625" style="1486" customWidth="1"/>
    <col min="10762" max="10763" width="0" style="1486" hidden="1" customWidth="1"/>
    <col min="10764" max="11006" width="9.140625" style="1486"/>
    <col min="11007" max="11007" width="5.140625" style="1486" customWidth="1"/>
    <col min="11008" max="11009" width="9.140625" style="1486"/>
    <col min="11010" max="11010" width="6.28515625" style="1486" customWidth="1"/>
    <col min="11011" max="11011" width="60.42578125" style="1486" customWidth="1"/>
    <col min="11012" max="11012" width="8" style="1486" bestFit="1" customWidth="1"/>
    <col min="11013" max="11013" width="8" style="1486" customWidth="1"/>
    <col min="11014" max="11014" width="7.7109375" style="1486" customWidth="1"/>
    <col min="11015" max="11015" width="5.85546875" style="1486" customWidth="1"/>
    <col min="11016" max="11016" width="8" style="1486" bestFit="1" customWidth="1"/>
    <col min="11017" max="11017" width="11.140625" style="1486" customWidth="1"/>
    <col min="11018" max="11019" width="0" style="1486" hidden="1" customWidth="1"/>
    <col min="11020" max="11262" width="9.140625" style="1486"/>
    <col min="11263" max="11263" width="5.140625" style="1486" customWidth="1"/>
    <col min="11264" max="11265" width="9.140625" style="1486"/>
    <col min="11266" max="11266" width="6.28515625" style="1486" customWidth="1"/>
    <col min="11267" max="11267" width="60.42578125" style="1486" customWidth="1"/>
    <col min="11268" max="11268" width="8" style="1486" bestFit="1" customWidth="1"/>
    <col min="11269" max="11269" width="8" style="1486" customWidth="1"/>
    <col min="11270" max="11270" width="7.7109375" style="1486" customWidth="1"/>
    <col min="11271" max="11271" width="5.85546875" style="1486" customWidth="1"/>
    <col min="11272" max="11272" width="8" style="1486" bestFit="1" customWidth="1"/>
    <col min="11273" max="11273" width="11.140625" style="1486" customWidth="1"/>
    <col min="11274" max="11275" width="0" style="1486" hidden="1" customWidth="1"/>
    <col min="11276" max="11518" width="9.140625" style="1486"/>
    <col min="11519" max="11519" width="5.140625" style="1486" customWidth="1"/>
    <col min="11520" max="11521" width="9.140625" style="1486"/>
    <col min="11522" max="11522" width="6.28515625" style="1486" customWidth="1"/>
    <col min="11523" max="11523" width="60.42578125" style="1486" customWidth="1"/>
    <col min="11524" max="11524" width="8" style="1486" bestFit="1" customWidth="1"/>
    <col min="11525" max="11525" width="8" style="1486" customWidth="1"/>
    <col min="11526" max="11526" width="7.7109375" style="1486" customWidth="1"/>
    <col min="11527" max="11527" width="5.85546875" style="1486" customWidth="1"/>
    <col min="11528" max="11528" width="8" style="1486" bestFit="1" customWidth="1"/>
    <col min="11529" max="11529" width="11.140625" style="1486" customWidth="1"/>
    <col min="11530" max="11531" width="0" style="1486" hidden="1" customWidth="1"/>
    <col min="11532" max="11774" width="9.140625" style="1486"/>
    <col min="11775" max="11775" width="5.140625" style="1486" customWidth="1"/>
    <col min="11776" max="11777" width="9.140625" style="1486"/>
    <col min="11778" max="11778" width="6.28515625" style="1486" customWidth="1"/>
    <col min="11779" max="11779" width="60.42578125" style="1486" customWidth="1"/>
    <col min="11780" max="11780" width="8" style="1486" bestFit="1" customWidth="1"/>
    <col min="11781" max="11781" width="8" style="1486" customWidth="1"/>
    <col min="11782" max="11782" width="7.7109375" style="1486" customWidth="1"/>
    <col min="11783" max="11783" width="5.85546875" style="1486" customWidth="1"/>
    <col min="11784" max="11784" width="8" style="1486" bestFit="1" customWidth="1"/>
    <col min="11785" max="11785" width="11.140625" style="1486" customWidth="1"/>
    <col min="11786" max="11787" width="0" style="1486" hidden="1" customWidth="1"/>
    <col min="11788" max="12030" width="9.140625" style="1486"/>
    <col min="12031" max="12031" width="5.140625" style="1486" customWidth="1"/>
    <col min="12032" max="12033" width="9.140625" style="1486"/>
    <col min="12034" max="12034" width="6.28515625" style="1486" customWidth="1"/>
    <col min="12035" max="12035" width="60.42578125" style="1486" customWidth="1"/>
    <col min="12036" max="12036" width="8" style="1486" bestFit="1" customWidth="1"/>
    <col min="12037" max="12037" width="8" style="1486" customWidth="1"/>
    <col min="12038" max="12038" width="7.7109375" style="1486" customWidth="1"/>
    <col min="12039" max="12039" width="5.85546875" style="1486" customWidth="1"/>
    <col min="12040" max="12040" width="8" style="1486" bestFit="1" customWidth="1"/>
    <col min="12041" max="12041" width="11.140625" style="1486" customWidth="1"/>
    <col min="12042" max="12043" width="0" style="1486" hidden="1" customWidth="1"/>
    <col min="12044" max="12286" width="9.140625" style="1486"/>
    <col min="12287" max="12287" width="5.140625" style="1486" customWidth="1"/>
    <col min="12288" max="12289" width="9.140625" style="1486"/>
    <col min="12290" max="12290" width="6.28515625" style="1486" customWidth="1"/>
    <col min="12291" max="12291" width="60.42578125" style="1486" customWidth="1"/>
    <col min="12292" max="12292" width="8" style="1486" bestFit="1" customWidth="1"/>
    <col min="12293" max="12293" width="8" style="1486" customWidth="1"/>
    <col min="12294" max="12294" width="7.7109375" style="1486" customWidth="1"/>
    <col min="12295" max="12295" width="5.85546875" style="1486" customWidth="1"/>
    <col min="12296" max="12296" width="8" style="1486" bestFit="1" customWidth="1"/>
    <col min="12297" max="12297" width="11.140625" style="1486" customWidth="1"/>
    <col min="12298" max="12299" width="0" style="1486" hidden="1" customWidth="1"/>
    <col min="12300" max="12542" width="9.140625" style="1486"/>
    <col min="12543" max="12543" width="5.140625" style="1486" customWidth="1"/>
    <col min="12544" max="12545" width="9.140625" style="1486"/>
    <col min="12546" max="12546" width="6.28515625" style="1486" customWidth="1"/>
    <col min="12547" max="12547" width="60.42578125" style="1486" customWidth="1"/>
    <col min="12548" max="12548" width="8" style="1486" bestFit="1" customWidth="1"/>
    <col min="12549" max="12549" width="8" style="1486" customWidth="1"/>
    <col min="12550" max="12550" width="7.7109375" style="1486" customWidth="1"/>
    <col min="12551" max="12551" width="5.85546875" style="1486" customWidth="1"/>
    <col min="12552" max="12552" width="8" style="1486" bestFit="1" customWidth="1"/>
    <col min="12553" max="12553" width="11.140625" style="1486" customWidth="1"/>
    <col min="12554" max="12555" width="0" style="1486" hidden="1" customWidth="1"/>
    <col min="12556" max="12798" width="9.140625" style="1486"/>
    <col min="12799" max="12799" width="5.140625" style="1486" customWidth="1"/>
    <col min="12800" max="12801" width="9.140625" style="1486"/>
    <col min="12802" max="12802" width="6.28515625" style="1486" customWidth="1"/>
    <col min="12803" max="12803" width="60.42578125" style="1486" customWidth="1"/>
    <col min="12804" max="12804" width="8" style="1486" bestFit="1" customWidth="1"/>
    <col min="12805" max="12805" width="8" style="1486" customWidth="1"/>
    <col min="12806" max="12806" width="7.7109375" style="1486" customWidth="1"/>
    <col min="12807" max="12807" width="5.85546875" style="1486" customWidth="1"/>
    <col min="12808" max="12808" width="8" style="1486" bestFit="1" customWidth="1"/>
    <col min="12809" max="12809" width="11.140625" style="1486" customWidth="1"/>
    <col min="12810" max="12811" width="0" style="1486" hidden="1" customWidth="1"/>
    <col min="12812" max="13054" width="9.140625" style="1486"/>
    <col min="13055" max="13055" width="5.140625" style="1486" customWidth="1"/>
    <col min="13056" max="13057" width="9.140625" style="1486"/>
    <col min="13058" max="13058" width="6.28515625" style="1486" customWidth="1"/>
    <col min="13059" max="13059" width="60.42578125" style="1486" customWidth="1"/>
    <col min="13060" max="13060" width="8" style="1486" bestFit="1" customWidth="1"/>
    <col min="13061" max="13061" width="8" style="1486" customWidth="1"/>
    <col min="13062" max="13062" width="7.7109375" style="1486" customWidth="1"/>
    <col min="13063" max="13063" width="5.85546875" style="1486" customWidth="1"/>
    <col min="13064" max="13064" width="8" style="1486" bestFit="1" customWidth="1"/>
    <col min="13065" max="13065" width="11.140625" style="1486" customWidth="1"/>
    <col min="13066" max="13067" width="0" style="1486" hidden="1" customWidth="1"/>
    <col min="13068" max="13310" width="9.140625" style="1486"/>
    <col min="13311" max="13311" width="5.140625" style="1486" customWidth="1"/>
    <col min="13312" max="13313" width="9.140625" style="1486"/>
    <col min="13314" max="13314" width="6.28515625" style="1486" customWidth="1"/>
    <col min="13315" max="13315" width="60.42578125" style="1486" customWidth="1"/>
    <col min="13316" max="13316" width="8" style="1486" bestFit="1" customWidth="1"/>
    <col min="13317" max="13317" width="8" style="1486" customWidth="1"/>
    <col min="13318" max="13318" width="7.7109375" style="1486" customWidth="1"/>
    <col min="13319" max="13319" width="5.85546875" style="1486" customWidth="1"/>
    <col min="13320" max="13320" width="8" style="1486" bestFit="1" customWidth="1"/>
    <col min="13321" max="13321" width="11.140625" style="1486" customWidth="1"/>
    <col min="13322" max="13323" width="0" style="1486" hidden="1" customWidth="1"/>
    <col min="13324" max="13566" width="9.140625" style="1486"/>
    <col min="13567" max="13567" width="5.140625" style="1486" customWidth="1"/>
    <col min="13568" max="13569" width="9.140625" style="1486"/>
    <col min="13570" max="13570" width="6.28515625" style="1486" customWidth="1"/>
    <col min="13571" max="13571" width="60.42578125" style="1486" customWidth="1"/>
    <col min="13572" max="13572" width="8" style="1486" bestFit="1" customWidth="1"/>
    <col min="13573" max="13573" width="8" style="1486" customWidth="1"/>
    <col min="13574" max="13574" width="7.7109375" style="1486" customWidth="1"/>
    <col min="13575" max="13575" width="5.85546875" style="1486" customWidth="1"/>
    <col min="13576" max="13576" width="8" style="1486" bestFit="1" customWidth="1"/>
    <col min="13577" max="13577" width="11.140625" style="1486" customWidth="1"/>
    <col min="13578" max="13579" width="0" style="1486" hidden="1" customWidth="1"/>
    <col min="13580" max="13822" width="9.140625" style="1486"/>
    <col min="13823" max="13823" width="5.140625" style="1486" customWidth="1"/>
    <col min="13824" max="13825" width="9.140625" style="1486"/>
    <col min="13826" max="13826" width="6.28515625" style="1486" customWidth="1"/>
    <col min="13827" max="13827" width="60.42578125" style="1486" customWidth="1"/>
    <col min="13828" max="13828" width="8" style="1486" bestFit="1" customWidth="1"/>
    <col min="13829" max="13829" width="8" style="1486" customWidth="1"/>
    <col min="13830" max="13830" width="7.7109375" style="1486" customWidth="1"/>
    <col min="13831" max="13831" width="5.85546875" style="1486" customWidth="1"/>
    <col min="13832" max="13832" width="8" style="1486" bestFit="1" customWidth="1"/>
    <col min="13833" max="13833" width="11.140625" style="1486" customWidth="1"/>
    <col min="13834" max="13835" width="0" style="1486" hidden="1" customWidth="1"/>
    <col min="13836" max="14078" width="9.140625" style="1486"/>
    <col min="14079" max="14079" width="5.140625" style="1486" customWidth="1"/>
    <col min="14080" max="14081" width="9.140625" style="1486"/>
    <col min="14082" max="14082" width="6.28515625" style="1486" customWidth="1"/>
    <col min="14083" max="14083" width="60.42578125" style="1486" customWidth="1"/>
    <col min="14084" max="14084" width="8" style="1486" bestFit="1" customWidth="1"/>
    <col min="14085" max="14085" width="8" style="1486" customWidth="1"/>
    <col min="14086" max="14086" width="7.7109375" style="1486" customWidth="1"/>
    <col min="14087" max="14087" width="5.85546875" style="1486" customWidth="1"/>
    <col min="14088" max="14088" width="8" style="1486" bestFit="1" customWidth="1"/>
    <col min="14089" max="14089" width="11.140625" style="1486" customWidth="1"/>
    <col min="14090" max="14091" width="0" style="1486" hidden="1" customWidth="1"/>
    <col min="14092" max="14334" width="9.140625" style="1486"/>
    <col min="14335" max="14335" width="5.140625" style="1486" customWidth="1"/>
    <col min="14336" max="14337" width="9.140625" style="1486"/>
    <col min="14338" max="14338" width="6.28515625" style="1486" customWidth="1"/>
    <col min="14339" max="14339" width="60.42578125" style="1486" customWidth="1"/>
    <col min="14340" max="14340" width="8" style="1486" bestFit="1" customWidth="1"/>
    <col min="14341" max="14341" width="8" style="1486" customWidth="1"/>
    <col min="14342" max="14342" width="7.7109375" style="1486" customWidth="1"/>
    <col min="14343" max="14343" width="5.85546875" style="1486" customWidth="1"/>
    <col min="14344" max="14344" width="8" style="1486" bestFit="1" customWidth="1"/>
    <col min="14345" max="14345" width="11.140625" style="1486" customWidth="1"/>
    <col min="14346" max="14347" width="0" style="1486" hidden="1" customWidth="1"/>
    <col min="14348" max="14590" width="9.140625" style="1486"/>
    <col min="14591" max="14591" width="5.140625" style="1486" customWidth="1"/>
    <col min="14592" max="14593" width="9.140625" style="1486"/>
    <col min="14594" max="14594" width="6.28515625" style="1486" customWidth="1"/>
    <col min="14595" max="14595" width="60.42578125" style="1486" customWidth="1"/>
    <col min="14596" max="14596" width="8" style="1486" bestFit="1" customWidth="1"/>
    <col min="14597" max="14597" width="8" style="1486" customWidth="1"/>
    <col min="14598" max="14598" width="7.7109375" style="1486" customWidth="1"/>
    <col min="14599" max="14599" width="5.85546875" style="1486" customWidth="1"/>
    <col min="14600" max="14600" width="8" style="1486" bestFit="1" customWidth="1"/>
    <col min="14601" max="14601" width="11.140625" style="1486" customWidth="1"/>
    <col min="14602" max="14603" width="0" style="1486" hidden="1" customWidth="1"/>
    <col min="14604" max="14846" width="9.140625" style="1486"/>
    <col min="14847" max="14847" width="5.140625" style="1486" customWidth="1"/>
    <col min="14848" max="14849" width="9.140625" style="1486"/>
    <col min="14850" max="14850" width="6.28515625" style="1486" customWidth="1"/>
    <col min="14851" max="14851" width="60.42578125" style="1486" customWidth="1"/>
    <col min="14852" max="14852" width="8" style="1486" bestFit="1" customWidth="1"/>
    <col min="14853" max="14853" width="8" style="1486" customWidth="1"/>
    <col min="14854" max="14854" width="7.7109375" style="1486" customWidth="1"/>
    <col min="14855" max="14855" width="5.85546875" style="1486" customWidth="1"/>
    <col min="14856" max="14856" width="8" style="1486" bestFit="1" customWidth="1"/>
    <col min="14857" max="14857" width="11.140625" style="1486" customWidth="1"/>
    <col min="14858" max="14859" width="0" style="1486" hidden="1" customWidth="1"/>
    <col min="14860" max="15102" width="9.140625" style="1486"/>
    <col min="15103" max="15103" width="5.140625" style="1486" customWidth="1"/>
    <col min="15104" max="15105" width="9.140625" style="1486"/>
    <col min="15106" max="15106" width="6.28515625" style="1486" customWidth="1"/>
    <col min="15107" max="15107" width="60.42578125" style="1486" customWidth="1"/>
    <col min="15108" max="15108" width="8" style="1486" bestFit="1" customWidth="1"/>
    <col min="15109" max="15109" width="8" style="1486" customWidth="1"/>
    <col min="15110" max="15110" width="7.7109375" style="1486" customWidth="1"/>
    <col min="15111" max="15111" width="5.85546875" style="1486" customWidth="1"/>
    <col min="15112" max="15112" width="8" style="1486" bestFit="1" customWidth="1"/>
    <col min="15113" max="15113" width="11.140625" style="1486" customWidth="1"/>
    <col min="15114" max="15115" width="0" style="1486" hidden="1" customWidth="1"/>
    <col min="15116" max="15358" width="9.140625" style="1486"/>
    <col min="15359" max="15359" width="5.140625" style="1486" customWidth="1"/>
    <col min="15360" max="15361" width="9.140625" style="1486"/>
    <col min="15362" max="15362" width="6.28515625" style="1486" customWidth="1"/>
    <col min="15363" max="15363" width="60.42578125" style="1486" customWidth="1"/>
    <col min="15364" max="15364" width="8" style="1486" bestFit="1" customWidth="1"/>
    <col min="15365" max="15365" width="8" style="1486" customWidth="1"/>
    <col min="15366" max="15366" width="7.7109375" style="1486" customWidth="1"/>
    <col min="15367" max="15367" width="5.85546875" style="1486" customWidth="1"/>
    <col min="15368" max="15368" width="8" style="1486" bestFit="1" customWidth="1"/>
    <col min="15369" max="15369" width="11.140625" style="1486" customWidth="1"/>
    <col min="15370" max="15371" width="0" style="1486" hidden="1" customWidth="1"/>
    <col min="15372" max="15614" width="9.140625" style="1486"/>
    <col min="15615" max="15615" width="5.140625" style="1486" customWidth="1"/>
    <col min="15616" max="15617" width="9.140625" style="1486"/>
    <col min="15618" max="15618" width="6.28515625" style="1486" customWidth="1"/>
    <col min="15619" max="15619" width="60.42578125" style="1486" customWidth="1"/>
    <col min="15620" max="15620" width="8" style="1486" bestFit="1" customWidth="1"/>
    <col min="15621" max="15621" width="8" style="1486" customWidth="1"/>
    <col min="15622" max="15622" width="7.7109375" style="1486" customWidth="1"/>
    <col min="15623" max="15623" width="5.85546875" style="1486" customWidth="1"/>
    <col min="15624" max="15624" width="8" style="1486" bestFit="1" customWidth="1"/>
    <col min="15625" max="15625" width="11.140625" style="1486" customWidth="1"/>
    <col min="15626" max="15627" width="0" style="1486" hidden="1" customWidth="1"/>
    <col min="15628" max="15870" width="9.140625" style="1486"/>
    <col min="15871" max="15871" width="5.140625" style="1486" customWidth="1"/>
    <col min="15872" max="15873" width="9.140625" style="1486"/>
    <col min="15874" max="15874" width="6.28515625" style="1486" customWidth="1"/>
    <col min="15875" max="15875" width="60.42578125" style="1486" customWidth="1"/>
    <col min="15876" max="15876" width="8" style="1486" bestFit="1" customWidth="1"/>
    <col min="15877" max="15877" width="8" style="1486" customWidth="1"/>
    <col min="15878" max="15878" width="7.7109375" style="1486" customWidth="1"/>
    <col min="15879" max="15879" width="5.85546875" style="1486" customWidth="1"/>
    <col min="15880" max="15880" width="8" style="1486" bestFit="1" customWidth="1"/>
    <col min="15881" max="15881" width="11.140625" style="1486" customWidth="1"/>
    <col min="15882" max="15883" width="0" style="1486" hidden="1" customWidth="1"/>
    <col min="15884" max="16126" width="9.140625" style="1486"/>
    <col min="16127" max="16127" width="5.140625" style="1486" customWidth="1"/>
    <col min="16128" max="16129" width="9.140625" style="1486"/>
    <col min="16130" max="16130" width="6.28515625" style="1486" customWidth="1"/>
    <col min="16131" max="16131" width="60.42578125" style="1486" customWidth="1"/>
    <col min="16132" max="16132" width="8" style="1486" bestFit="1" customWidth="1"/>
    <col min="16133" max="16133" width="8" style="1486" customWidth="1"/>
    <col min="16134" max="16134" width="7.7109375" style="1486" customWidth="1"/>
    <col min="16135" max="16135" width="5.85546875" style="1486" customWidth="1"/>
    <col min="16136" max="16136" width="8" style="1486" bestFit="1" customWidth="1"/>
    <col min="16137" max="16137" width="11.140625" style="1486" customWidth="1"/>
    <col min="16138" max="16139" width="0" style="1486" hidden="1" customWidth="1"/>
    <col min="16140" max="16384" width="9.140625" style="1486"/>
  </cols>
  <sheetData>
    <row r="1" spans="1:11" s="1482" customFormat="1" ht="15.75">
      <c r="H1" s="1541"/>
      <c r="J1" s="1934" t="s">
        <v>1588</v>
      </c>
      <c r="K1" s="1934"/>
    </row>
    <row r="2" spans="1:11" s="1482" customFormat="1" ht="15.75">
      <c r="A2" s="1989" t="s">
        <v>2644</v>
      </c>
      <c r="B2" s="1989"/>
      <c r="C2" s="1989"/>
      <c r="D2" s="1989"/>
      <c r="E2" s="1989"/>
      <c r="F2" s="1989"/>
      <c r="G2" s="1989"/>
      <c r="H2" s="1989"/>
      <c r="I2" s="1989"/>
      <c r="J2" s="1989"/>
      <c r="K2" s="1989"/>
    </row>
    <row r="3" spans="1:11" s="1482" customFormat="1" ht="15.75">
      <c r="H3" s="1541"/>
      <c r="J3" s="1541"/>
    </row>
    <row r="4" spans="1:11">
      <c r="F4" s="1990" t="s">
        <v>2609</v>
      </c>
      <c r="G4" s="1990"/>
      <c r="H4" s="1991" t="s">
        <v>2610</v>
      </c>
      <c r="I4" s="1991"/>
      <c r="J4" s="1991" t="s">
        <v>2797</v>
      </c>
      <c r="K4" s="1991"/>
    </row>
    <row r="5" spans="1:11">
      <c r="A5" s="1487" t="s">
        <v>2611</v>
      </c>
    </row>
    <row r="6" spans="1:11">
      <c r="A6" s="1486" t="s">
        <v>2612</v>
      </c>
      <c r="F6" s="1762">
        <f>+F45+F10</f>
        <v>3330728</v>
      </c>
      <c r="G6" s="1487" t="s">
        <v>2511</v>
      </c>
      <c r="H6" s="1486"/>
      <c r="J6" s="1409"/>
      <c r="K6" s="1487"/>
    </row>
    <row r="7" spans="1:11">
      <c r="B7" s="1486" t="s">
        <v>2613</v>
      </c>
      <c r="H7" s="1762">
        <f>+H45+H10</f>
        <v>3330728</v>
      </c>
      <c r="I7" s="1487" t="s">
        <v>2511</v>
      </c>
      <c r="J7" s="1409"/>
      <c r="K7" s="1487"/>
    </row>
    <row r="8" spans="1:11">
      <c r="C8" s="1486" t="s">
        <v>2614</v>
      </c>
      <c r="H8" s="1409"/>
      <c r="I8" s="1487"/>
      <c r="J8" s="1762">
        <f>+J55+J52</f>
        <v>2876249</v>
      </c>
      <c r="K8" s="1487" t="s">
        <v>2511</v>
      </c>
    </row>
    <row r="9" spans="1:11">
      <c r="H9" s="1543"/>
      <c r="I9" s="1487"/>
      <c r="J9" s="1409"/>
      <c r="K9" s="1487"/>
    </row>
    <row r="10" spans="1:11" s="1487" customFormat="1">
      <c r="A10" s="1487" t="s">
        <v>2615</v>
      </c>
      <c r="F10" s="1762">
        <f>F25+F29+F33+F12+F37+F41</f>
        <v>686696</v>
      </c>
      <c r="G10" s="1487" t="s">
        <v>2511</v>
      </c>
      <c r="H10" s="1762">
        <f>H27+H31+H35+H18+H39+H43</f>
        <v>686696</v>
      </c>
      <c r="I10" s="1487" t="s">
        <v>2511</v>
      </c>
      <c r="J10" s="1409"/>
    </row>
    <row r="11" spans="1:11">
      <c r="A11" s="1486" t="s">
        <v>2616</v>
      </c>
      <c r="H11" s="1409"/>
    </row>
    <row r="12" spans="1:11" s="1488" customFormat="1" ht="13.5">
      <c r="A12" s="1488" t="s">
        <v>2617</v>
      </c>
      <c r="F12" s="1544">
        <f>3307594-F47</f>
        <v>663562</v>
      </c>
      <c r="G12" s="1545" t="s">
        <v>2511</v>
      </c>
      <c r="H12" s="1546"/>
      <c r="J12" s="1546"/>
    </row>
    <row r="13" spans="1:11" s="1488" customFormat="1">
      <c r="A13" s="1488" t="s">
        <v>2618</v>
      </c>
      <c r="F13" s="1546">
        <f>-F26</f>
        <v>22631</v>
      </c>
      <c r="G13" s="1488" t="s">
        <v>2511</v>
      </c>
      <c r="H13" s="1546"/>
      <c r="J13" s="1546"/>
    </row>
    <row r="14" spans="1:11" s="1488" customFormat="1">
      <c r="A14" s="1488" t="s">
        <v>2619</v>
      </c>
      <c r="F14" s="1546">
        <f>-F30</f>
        <v>110</v>
      </c>
      <c r="G14" s="1488" t="s">
        <v>2511</v>
      </c>
      <c r="H14" s="1546"/>
      <c r="J14" s="1546"/>
    </row>
    <row r="15" spans="1:11" s="1488" customFormat="1">
      <c r="A15" s="1488" t="s">
        <v>2620</v>
      </c>
      <c r="F15" s="1546">
        <f>-F34</f>
        <v>329</v>
      </c>
      <c r="G15" s="1488" t="s">
        <v>2511</v>
      </c>
      <c r="H15" s="1546"/>
      <c r="J15" s="1546"/>
    </row>
    <row r="16" spans="1:11" s="1488" customFormat="1">
      <c r="A16" s="1488" t="s">
        <v>2621</v>
      </c>
      <c r="F16" s="1546">
        <f>-F38</f>
        <v>24</v>
      </c>
      <c r="G16" s="1488" t="s">
        <v>2511</v>
      </c>
      <c r="H16" s="1546"/>
      <c r="J16" s="1546"/>
    </row>
    <row r="17" spans="1:12" s="1488" customFormat="1">
      <c r="A17" s="1488" t="s">
        <v>2622</v>
      </c>
      <c r="F17" s="1546">
        <f>-F42</f>
        <v>40</v>
      </c>
      <c r="G17" s="1488" t="s">
        <v>2511</v>
      </c>
      <c r="H17" s="1546"/>
      <c r="J17" s="1546"/>
    </row>
    <row r="18" spans="1:12" s="1487" customFormat="1">
      <c r="B18" s="1487" t="s">
        <v>2623</v>
      </c>
      <c r="F18" s="1409">
        <f>SUM(F12:F17)</f>
        <v>686696</v>
      </c>
      <c r="G18" s="1487" t="s">
        <v>2511</v>
      </c>
      <c r="H18" s="1409">
        <f>SUM(H19:H23)</f>
        <v>686696</v>
      </c>
      <c r="I18" s="1487" t="s">
        <v>2511</v>
      </c>
      <c r="J18" s="1409"/>
      <c r="L18" s="1409"/>
    </row>
    <row r="19" spans="1:12">
      <c r="B19" s="1486" t="s">
        <v>2624</v>
      </c>
      <c r="H19" s="1542">
        <v>3079</v>
      </c>
      <c r="I19" s="1486" t="s">
        <v>2511</v>
      </c>
    </row>
    <row r="20" spans="1:12">
      <c r="B20" s="1486" t="s">
        <v>2805</v>
      </c>
      <c r="H20" s="1542">
        <f>21843+30446</f>
        <v>52289</v>
      </c>
      <c r="I20" s="1486" t="s">
        <v>2511</v>
      </c>
    </row>
    <row r="21" spans="1:12">
      <c r="B21" s="1486" t="s">
        <v>2804</v>
      </c>
      <c r="H21" s="1542">
        <f>1000+8500</f>
        <v>9500</v>
      </c>
      <c r="I21" s="1486" t="s">
        <v>2511</v>
      </c>
    </row>
    <row r="22" spans="1:12">
      <c r="B22" s="1486" t="s">
        <v>2798</v>
      </c>
      <c r="H22" s="1542">
        <f>79139-1000+2677</f>
        <v>80816</v>
      </c>
      <c r="I22" s="1486" t="s">
        <v>2511</v>
      </c>
      <c r="K22" s="1542"/>
    </row>
    <row r="23" spans="1:12">
      <c r="B23" s="1486" t="s">
        <v>2625</v>
      </c>
      <c r="H23" s="1542">
        <f>+F18-H19-H20-H21-H22</f>
        <v>541012</v>
      </c>
      <c r="I23" s="1486" t="s">
        <v>2511</v>
      </c>
    </row>
    <row r="24" spans="1:12">
      <c r="F24" s="1542"/>
    </row>
    <row r="25" spans="1:12" s="1488" customFormat="1" ht="13.5">
      <c r="A25" s="1488" t="s">
        <v>2626</v>
      </c>
      <c r="F25" s="1544">
        <v>22631</v>
      </c>
      <c r="G25" s="1545" t="s">
        <v>2511</v>
      </c>
      <c r="H25" s="1546"/>
      <c r="J25" s="1546"/>
    </row>
    <row r="26" spans="1:12" s="1488" customFormat="1">
      <c r="A26" s="1488" t="s">
        <v>2627</v>
      </c>
      <c r="F26" s="1546">
        <f>-F25</f>
        <v>-22631</v>
      </c>
      <c r="G26" s="1488" t="s">
        <v>2511</v>
      </c>
      <c r="H26" s="1546"/>
      <c r="J26" s="1546"/>
    </row>
    <row r="27" spans="1:12" s="1545" customFormat="1" ht="13.5">
      <c r="B27" s="1487" t="s">
        <v>2628</v>
      </c>
      <c r="F27" s="1409">
        <f>+F25+F26</f>
        <v>0</v>
      </c>
      <c r="G27" s="1487" t="s">
        <v>2511</v>
      </c>
      <c r="H27" s="1409">
        <f>+F27</f>
        <v>0</v>
      </c>
      <c r="I27" s="1487" t="s">
        <v>2511</v>
      </c>
      <c r="J27" s="1544"/>
    </row>
    <row r="28" spans="1:12">
      <c r="F28" s="1409"/>
    </row>
    <row r="29" spans="1:12" s="1488" customFormat="1" ht="13.5">
      <c r="A29" s="1488" t="s">
        <v>2629</v>
      </c>
      <c r="F29" s="1544">
        <v>110</v>
      </c>
      <c r="G29" s="1545" t="s">
        <v>2511</v>
      </c>
      <c r="H29" s="1546"/>
      <c r="J29" s="1546"/>
    </row>
    <row r="30" spans="1:12" s="1488" customFormat="1">
      <c r="A30" s="1488" t="s">
        <v>2627</v>
      </c>
      <c r="F30" s="1546">
        <f>-F29</f>
        <v>-110</v>
      </c>
      <c r="G30" s="1488" t="s">
        <v>2511</v>
      </c>
      <c r="H30" s="1546"/>
      <c r="J30" s="1546"/>
    </row>
    <row r="31" spans="1:12" s="1545" customFormat="1" ht="13.5">
      <c r="B31" s="1487" t="s">
        <v>2630</v>
      </c>
      <c r="F31" s="1409">
        <f>+F29+F30</f>
        <v>0</v>
      </c>
      <c r="G31" s="1487" t="s">
        <v>2511</v>
      </c>
      <c r="H31" s="1409">
        <v>0</v>
      </c>
      <c r="I31" s="1487" t="s">
        <v>2511</v>
      </c>
      <c r="J31" s="1544"/>
    </row>
    <row r="32" spans="1:12">
      <c r="F32" s="1409"/>
    </row>
    <row r="33" spans="1:10" s="1488" customFormat="1" ht="13.5">
      <c r="A33" s="1488" t="s">
        <v>2631</v>
      </c>
      <c r="F33" s="1544">
        <v>329</v>
      </c>
      <c r="G33" s="1545" t="s">
        <v>2511</v>
      </c>
      <c r="H33" s="1546"/>
      <c r="J33" s="1546"/>
    </row>
    <row r="34" spans="1:10" s="1488" customFormat="1">
      <c r="A34" s="1488" t="s">
        <v>2627</v>
      </c>
      <c r="F34" s="1546">
        <f>-F33</f>
        <v>-329</v>
      </c>
      <c r="G34" s="1488" t="s">
        <v>2511</v>
      </c>
      <c r="H34" s="1546"/>
      <c r="J34" s="1546"/>
    </row>
    <row r="35" spans="1:10" s="1545" customFormat="1" ht="13.5">
      <c r="B35" s="1487" t="s">
        <v>2632</v>
      </c>
      <c r="F35" s="1409">
        <f>+F33+F34</f>
        <v>0</v>
      </c>
      <c r="G35" s="1487" t="s">
        <v>2511</v>
      </c>
      <c r="H35" s="1409">
        <v>0</v>
      </c>
      <c r="I35" s="1487" t="s">
        <v>2511</v>
      </c>
      <c r="J35" s="1544"/>
    </row>
    <row r="36" spans="1:10">
      <c r="F36" s="1409"/>
    </row>
    <row r="37" spans="1:10" s="1488" customFormat="1" ht="13.5">
      <c r="A37" s="1488" t="s">
        <v>2633</v>
      </c>
      <c r="F37" s="1544">
        <v>24</v>
      </c>
      <c r="G37" s="1545" t="s">
        <v>2511</v>
      </c>
      <c r="H37" s="1546"/>
      <c r="J37" s="1546"/>
    </row>
    <row r="38" spans="1:10" s="1488" customFormat="1">
      <c r="A38" s="1488" t="s">
        <v>2627</v>
      </c>
      <c r="F38" s="1546">
        <f>-F37</f>
        <v>-24</v>
      </c>
      <c r="G38" s="1488" t="s">
        <v>2511</v>
      </c>
      <c r="H38" s="1546"/>
      <c r="J38" s="1546"/>
    </row>
    <row r="39" spans="1:10" s="1545" customFormat="1" ht="13.5">
      <c r="B39" s="1487" t="s">
        <v>2634</v>
      </c>
      <c r="F39" s="1409">
        <f>+F37+F38</f>
        <v>0</v>
      </c>
      <c r="G39" s="1487" t="s">
        <v>2511</v>
      </c>
      <c r="H39" s="1409">
        <v>0</v>
      </c>
      <c r="I39" s="1487" t="s">
        <v>2511</v>
      </c>
      <c r="J39" s="1544"/>
    </row>
    <row r="40" spans="1:10" s="1545" customFormat="1" ht="13.5">
      <c r="B40" s="1487"/>
      <c r="F40" s="1409"/>
      <c r="G40" s="1487"/>
      <c r="H40" s="1409"/>
      <c r="I40" s="1487"/>
      <c r="J40" s="1544"/>
    </row>
    <row r="41" spans="1:10" s="1488" customFormat="1" ht="13.5">
      <c r="A41" s="1488" t="s">
        <v>2635</v>
      </c>
      <c r="F41" s="1544">
        <v>40</v>
      </c>
      <c r="G41" s="1545" t="s">
        <v>2511</v>
      </c>
      <c r="H41" s="1546"/>
      <c r="J41" s="1546"/>
    </row>
    <row r="42" spans="1:10" s="1488" customFormat="1">
      <c r="A42" s="1488" t="s">
        <v>2627</v>
      </c>
      <c r="F42" s="1546">
        <f>-F41</f>
        <v>-40</v>
      </c>
      <c r="G42" s="1488" t="s">
        <v>2511</v>
      </c>
      <c r="H42" s="1546"/>
      <c r="J42" s="1546"/>
    </row>
    <row r="43" spans="1:10" s="1545" customFormat="1" ht="13.5">
      <c r="B43" s="1487" t="s">
        <v>2634</v>
      </c>
      <c r="F43" s="1409">
        <f>+F41+F42</f>
        <v>0</v>
      </c>
      <c r="G43" s="1487" t="s">
        <v>2511</v>
      </c>
      <c r="H43" s="1409">
        <v>0</v>
      </c>
      <c r="I43" s="1487" t="s">
        <v>2511</v>
      </c>
      <c r="J43" s="1544"/>
    </row>
    <row r="44" spans="1:10" s="1545" customFormat="1" ht="13.5">
      <c r="B44" s="1487"/>
      <c r="F44" s="1409"/>
      <c r="G44" s="1487"/>
      <c r="H44" s="1409"/>
      <c r="I44" s="1487"/>
      <c r="J44" s="1544"/>
    </row>
    <row r="45" spans="1:10" s="1487" customFormat="1">
      <c r="A45" s="1487" t="s">
        <v>2636</v>
      </c>
      <c r="F45" s="1762">
        <f>+F47</f>
        <v>2644032</v>
      </c>
      <c r="G45" s="1487" t="s">
        <v>2511</v>
      </c>
      <c r="H45" s="1762">
        <f>+H48</f>
        <v>2644032</v>
      </c>
      <c r="I45" s="1487" t="s">
        <v>2511</v>
      </c>
      <c r="J45" s="1409"/>
    </row>
    <row r="46" spans="1:10">
      <c r="A46" s="1486" t="s">
        <v>2616</v>
      </c>
      <c r="F46" s="1542"/>
    </row>
    <row r="47" spans="1:10" s="1488" customFormat="1" ht="13.5">
      <c r="A47" s="1488" t="s">
        <v>2617</v>
      </c>
      <c r="F47" s="1544">
        <v>2644032</v>
      </c>
      <c r="G47" s="1545" t="s">
        <v>2511</v>
      </c>
      <c r="H47" s="1546"/>
      <c r="J47" s="1546"/>
    </row>
    <row r="48" spans="1:10" s="1487" customFormat="1" ht="13.5">
      <c r="B48" s="1487" t="s">
        <v>2637</v>
      </c>
      <c r="F48" s="1409">
        <f>SUM(F47:F47)</f>
        <v>2644032</v>
      </c>
      <c r="G48" s="1545" t="s">
        <v>2511</v>
      </c>
      <c r="H48" s="1409">
        <f>+H50+H49</f>
        <v>2644032</v>
      </c>
      <c r="I48" s="1487" t="s">
        <v>2511</v>
      </c>
      <c r="J48" s="1409"/>
    </row>
    <row r="49" spans="1:18">
      <c r="B49" s="1486" t="s">
        <v>2799</v>
      </c>
      <c r="H49" s="1542">
        <f>19784+(2626+30000+345250)+321642</f>
        <v>719302</v>
      </c>
      <c r="I49" s="1486" t="s">
        <v>2511</v>
      </c>
      <c r="L49" s="1542"/>
    </row>
    <row r="50" spans="1:18">
      <c r="B50" s="1486" t="s">
        <v>2638</v>
      </c>
      <c r="H50" s="1542">
        <f>MIN(2697474-62557,F48-H49)</f>
        <v>1924730</v>
      </c>
      <c r="I50" s="1486" t="s">
        <v>2511</v>
      </c>
      <c r="L50" s="1542"/>
    </row>
    <row r="51" spans="1:18">
      <c r="F51" s="1542"/>
    </row>
    <row r="52" spans="1:18" s="1545" customFormat="1" ht="13.5">
      <c r="C52" s="1545" t="s">
        <v>2800</v>
      </c>
      <c r="F52" s="1544"/>
      <c r="H52" s="1544"/>
      <c r="J52" s="1786">
        <v>2876249</v>
      </c>
      <c r="K52" s="1545" t="s">
        <v>2511</v>
      </c>
    </row>
    <row r="53" spans="1:18" s="1545" customFormat="1" ht="13.5">
      <c r="C53" s="1545" t="s">
        <v>2801</v>
      </c>
      <c r="F53" s="1544"/>
      <c r="H53" s="1544"/>
      <c r="J53" s="1786">
        <f>+H10-J52</f>
        <v>-2189553</v>
      </c>
      <c r="K53" s="1545" t="s">
        <v>2511</v>
      </c>
    </row>
    <row r="54" spans="1:18">
      <c r="F54" s="1542"/>
    </row>
    <row r="55" spans="1:18" s="1545" customFormat="1" ht="13.5">
      <c r="C55" s="1545" t="s">
        <v>2802</v>
      </c>
      <c r="F55" s="1544"/>
      <c r="H55" s="1544"/>
      <c r="J55" s="1786">
        <v>0</v>
      </c>
      <c r="K55" s="1545" t="s">
        <v>2511</v>
      </c>
    </row>
    <row r="56" spans="1:18" s="1545" customFormat="1" ht="13.5">
      <c r="C56" s="1545" t="s">
        <v>2803</v>
      </c>
      <c r="F56" s="1544"/>
      <c r="H56" s="1544"/>
      <c r="J56" s="1786">
        <f>+H48-J55</f>
        <v>2644032</v>
      </c>
      <c r="K56" s="1545" t="s">
        <v>2511</v>
      </c>
    </row>
    <row r="57" spans="1:18">
      <c r="F57" s="1542"/>
      <c r="J57" s="1409"/>
    </row>
    <row r="58" spans="1:18" ht="25.5" customHeight="1">
      <c r="A58" s="1988" t="s">
        <v>2639</v>
      </c>
      <c r="B58" s="1988"/>
      <c r="C58" s="1988"/>
      <c r="D58" s="1988"/>
      <c r="E58" s="1988"/>
      <c r="F58" s="1988"/>
      <c r="G58" s="1988"/>
      <c r="H58" s="1988"/>
      <c r="I58" s="1988"/>
      <c r="J58" s="1988"/>
      <c r="K58" s="1988"/>
    </row>
    <row r="60" spans="1:18">
      <c r="A60" s="1486" t="s">
        <v>2806</v>
      </c>
      <c r="M60" s="1542"/>
      <c r="N60" s="1542">
        <f>2697474-62557</f>
        <v>2634917</v>
      </c>
      <c r="P60" s="1542"/>
    </row>
    <row r="61" spans="1:18">
      <c r="M61" s="1542"/>
      <c r="N61" s="1542">
        <f>+H50+H23</f>
        <v>2465742</v>
      </c>
      <c r="P61" s="1542"/>
    </row>
    <row r="62" spans="1:18">
      <c r="M62" s="1542"/>
      <c r="N62" s="1542">
        <f>+N61-N60</f>
        <v>-169175</v>
      </c>
      <c r="P62" s="1542">
        <f>+J56+J53</f>
        <v>454479</v>
      </c>
      <c r="Q62" s="1542">
        <f>+P62-321642</f>
        <v>132837</v>
      </c>
    </row>
    <row r="63" spans="1:18">
      <c r="M63" s="1542"/>
      <c r="N63" s="1542"/>
      <c r="O63" s="1486">
        <v>0</v>
      </c>
      <c r="P63" s="1542">
        <v>20000</v>
      </c>
      <c r="Q63" s="1542">
        <f>+P63-O63</f>
        <v>20000</v>
      </c>
      <c r="R63" s="1486" t="s">
        <v>2807</v>
      </c>
    </row>
    <row r="64" spans="1:18">
      <c r="O64" s="1542">
        <f>78139+4579+8500+1000</f>
        <v>92218</v>
      </c>
      <c r="P64" s="1542">
        <v>94127</v>
      </c>
      <c r="Q64" s="1542">
        <f>+P64-O64</f>
        <v>1909</v>
      </c>
    </row>
    <row r="65" spans="15:17">
      <c r="O65" s="1542">
        <v>2634917</v>
      </c>
      <c r="P65" s="1542">
        <v>2481158</v>
      </c>
      <c r="Q65" s="1542">
        <f>+P65-O65</f>
        <v>-153759</v>
      </c>
    </row>
  </sheetData>
  <mergeCells count="6">
    <mergeCell ref="A58:K58"/>
    <mergeCell ref="J1:K1"/>
    <mergeCell ref="A2:K2"/>
    <mergeCell ref="F4:G4"/>
    <mergeCell ref="H4:I4"/>
    <mergeCell ref="J4:K4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5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 codeName="Munka28">
    <tabColor rgb="FF00B0F0"/>
    <pageSetUpPr fitToPage="1"/>
  </sheetPr>
  <dimension ref="A1:H29"/>
  <sheetViews>
    <sheetView zoomScaleNormal="100" workbookViewId="0"/>
  </sheetViews>
  <sheetFormatPr defaultRowHeight="12.75"/>
  <cols>
    <col min="1" max="1" width="4.7109375" style="551" customWidth="1"/>
    <col min="2" max="2" width="28.42578125" style="551" customWidth="1"/>
    <col min="3" max="8" width="10.140625" style="551" customWidth="1"/>
    <col min="9" max="16384" width="9.140625" style="551"/>
  </cols>
  <sheetData>
    <row r="1" spans="1:8" ht="15.75">
      <c r="A1" s="549"/>
      <c r="B1" s="550"/>
      <c r="C1" s="550"/>
      <c r="D1" s="550"/>
      <c r="E1" s="550"/>
      <c r="F1" s="550"/>
      <c r="G1" s="550"/>
      <c r="H1" s="153" t="s">
        <v>788</v>
      </c>
    </row>
    <row r="2" spans="1:8" ht="15.75">
      <c r="A2" s="549"/>
      <c r="B2" s="550"/>
      <c r="C2" s="550"/>
      <c r="D2" s="550"/>
      <c r="E2" s="550"/>
      <c r="F2" s="550"/>
      <c r="G2" s="550"/>
      <c r="H2" s="550"/>
    </row>
    <row r="3" spans="1:8" ht="15.75">
      <c r="A3" s="1953" t="s">
        <v>789</v>
      </c>
      <c r="B3" s="1953"/>
      <c r="C3" s="1953"/>
      <c r="D3" s="1953"/>
      <c r="E3" s="1953"/>
      <c r="F3" s="1953"/>
      <c r="G3" s="1953"/>
      <c r="H3" s="1953"/>
    </row>
    <row r="4" spans="1:8" ht="15.75">
      <c r="A4" s="1953"/>
      <c r="B4" s="1953"/>
      <c r="C4" s="1953"/>
      <c r="D4" s="1953"/>
      <c r="E4" s="1953"/>
      <c r="F4" s="1953"/>
      <c r="G4" s="1953"/>
      <c r="H4" s="1953"/>
    </row>
    <row r="6" spans="1:8" s="549" customFormat="1" ht="27" customHeight="1">
      <c r="A6" s="552" t="s">
        <v>790</v>
      </c>
      <c r="B6" s="553"/>
      <c r="C6" s="1992" t="s">
        <v>791</v>
      </c>
      <c r="D6" s="1992"/>
      <c r="E6" s="1992"/>
      <c r="F6" s="1992"/>
      <c r="G6" s="1992"/>
      <c r="H6" s="1992"/>
    </row>
    <row r="7" spans="1:8" s="549" customFormat="1" ht="15.75"/>
    <row r="8" spans="1:8" s="549" customFormat="1" ht="24.75" customHeight="1">
      <c r="A8" s="552" t="s">
        <v>792</v>
      </c>
      <c r="B8" s="553"/>
      <c r="C8" s="1992" t="s">
        <v>791</v>
      </c>
      <c r="D8" s="1992"/>
      <c r="E8" s="1992"/>
      <c r="F8" s="1992"/>
      <c r="G8" s="1992"/>
      <c r="H8" s="553"/>
    </row>
    <row r="9" spans="1:8" s="554" customFormat="1"/>
    <row r="10" spans="1:8" s="556" customFormat="1" ht="15" customHeight="1">
      <c r="A10" s="555" t="s">
        <v>793</v>
      </c>
    </row>
    <row r="11" spans="1:8" s="556" customFormat="1" ht="15" customHeight="1" thickBot="1">
      <c r="A11" s="555" t="s">
        <v>794</v>
      </c>
    </row>
    <row r="12" spans="1:8" s="560" customFormat="1" ht="42" customHeight="1" thickBot="1">
      <c r="A12" s="557" t="s">
        <v>17</v>
      </c>
      <c r="B12" s="558" t="s">
        <v>795</v>
      </c>
      <c r="C12" s="558" t="s">
        <v>796</v>
      </c>
      <c r="D12" s="558" t="s">
        <v>797</v>
      </c>
      <c r="E12" s="558" t="s">
        <v>798</v>
      </c>
      <c r="F12" s="558" t="s">
        <v>799</v>
      </c>
      <c r="G12" s="558" t="s">
        <v>800</v>
      </c>
      <c r="H12" s="559" t="s">
        <v>441</v>
      </c>
    </row>
    <row r="13" spans="1:8" ht="24" customHeight="1">
      <c r="A13" s="561" t="s">
        <v>4</v>
      </c>
      <c r="B13" s="562" t="s">
        <v>801</v>
      </c>
      <c r="C13" s="563"/>
      <c r="D13" s="563"/>
      <c r="E13" s="563"/>
      <c r="F13" s="563"/>
      <c r="G13" s="563"/>
      <c r="H13" s="564">
        <f>SUM(C13:G13)</f>
        <v>0</v>
      </c>
    </row>
    <row r="14" spans="1:8" ht="24" customHeight="1">
      <c r="A14" s="565" t="s">
        <v>5</v>
      </c>
      <c r="B14" s="566" t="s">
        <v>802</v>
      </c>
      <c r="C14" s="567"/>
      <c r="D14" s="567"/>
      <c r="E14" s="567"/>
      <c r="F14" s="567"/>
      <c r="G14" s="567"/>
      <c r="H14" s="568">
        <f t="shared" ref="H14:H19" si="0">SUM(C14:G14)</f>
        <v>0</v>
      </c>
    </row>
    <row r="15" spans="1:8" ht="24" customHeight="1">
      <c r="A15" s="565" t="s">
        <v>6</v>
      </c>
      <c r="B15" s="566" t="s">
        <v>803</v>
      </c>
      <c r="C15" s="567"/>
      <c r="D15" s="567"/>
      <c r="E15" s="567"/>
      <c r="F15" s="567"/>
      <c r="G15" s="567"/>
      <c r="H15" s="568">
        <f t="shared" si="0"/>
        <v>0</v>
      </c>
    </row>
    <row r="16" spans="1:8" ht="24" customHeight="1">
      <c r="A16" s="565" t="s">
        <v>3</v>
      </c>
      <c r="B16" s="566" t="s">
        <v>804</v>
      </c>
      <c r="C16" s="567"/>
      <c r="D16" s="567"/>
      <c r="E16" s="567"/>
      <c r="F16" s="567"/>
      <c r="G16" s="567"/>
      <c r="H16" s="568">
        <f t="shared" si="0"/>
        <v>0</v>
      </c>
    </row>
    <row r="17" spans="1:8" ht="24" customHeight="1">
      <c r="A17" s="565" t="s">
        <v>16</v>
      </c>
      <c r="B17" s="566" t="s">
        <v>805</v>
      </c>
      <c r="C17" s="567"/>
      <c r="D17" s="567"/>
      <c r="E17" s="567"/>
      <c r="F17" s="567"/>
      <c r="G17" s="567"/>
      <c r="H17" s="568">
        <f t="shared" si="0"/>
        <v>0</v>
      </c>
    </row>
    <row r="18" spans="1:8" ht="24" customHeight="1" thickBot="1">
      <c r="A18" s="569" t="s">
        <v>15</v>
      </c>
      <c r="B18" s="570" t="s">
        <v>806</v>
      </c>
      <c r="C18" s="571"/>
      <c r="D18" s="571"/>
      <c r="E18" s="571"/>
      <c r="F18" s="571"/>
      <c r="G18" s="571"/>
      <c r="H18" s="572">
        <f t="shared" si="0"/>
        <v>0</v>
      </c>
    </row>
    <row r="19" spans="1:8" s="576" customFormat="1" ht="24" customHeight="1" thickBot="1">
      <c r="A19" s="573" t="s">
        <v>14</v>
      </c>
      <c r="B19" s="321" t="s">
        <v>441</v>
      </c>
      <c r="C19" s="574">
        <f>SUM(C13:C18)</f>
        <v>0</v>
      </c>
      <c r="D19" s="574">
        <f>SUM(D13:D18)</f>
        <v>0</v>
      </c>
      <c r="E19" s="574">
        <f>SUM(E13:E18)</f>
        <v>0</v>
      </c>
      <c r="F19" s="574">
        <f>SUM(F13:F18)</f>
        <v>0</v>
      </c>
      <c r="G19" s="574">
        <f>SUM(G13:G18)</f>
        <v>0</v>
      </c>
      <c r="H19" s="575">
        <f t="shared" si="0"/>
        <v>0</v>
      </c>
    </row>
    <row r="20" spans="1:8" s="554" customFormat="1"/>
    <row r="21" spans="1:8" s="554" customFormat="1"/>
    <row r="22" spans="1:8" s="554" customFormat="1"/>
    <row r="23" spans="1:8" s="554" customFormat="1" ht="15.75">
      <c r="A23" s="549" t="s">
        <v>1331</v>
      </c>
    </row>
    <row r="24" spans="1:8" s="554" customFormat="1"/>
    <row r="26" spans="1:8">
      <c r="C26" s="577"/>
      <c r="D26" s="577"/>
      <c r="E26" s="577"/>
      <c r="F26" s="577"/>
      <c r="G26" s="577"/>
    </row>
    <row r="27" spans="1:8" ht="13.5">
      <c r="C27" s="578"/>
      <c r="D27" s="579" t="s">
        <v>807</v>
      </c>
      <c r="E27" s="579"/>
      <c r="F27" s="579"/>
      <c r="G27" s="578"/>
    </row>
    <row r="28" spans="1:8" ht="13.5">
      <c r="C28" s="580"/>
      <c r="D28" s="581"/>
      <c r="E28" s="581"/>
      <c r="F28" s="581"/>
      <c r="G28" s="580"/>
    </row>
    <row r="29" spans="1:8" ht="13.5">
      <c r="C29" s="580"/>
      <c r="D29" s="581"/>
      <c r="E29" s="581"/>
      <c r="F29" s="581"/>
      <c r="G29" s="580"/>
    </row>
  </sheetData>
  <mergeCells count="4">
    <mergeCell ref="A3:H3"/>
    <mergeCell ref="A4:H4"/>
    <mergeCell ref="C6:H6"/>
    <mergeCell ref="C8:G8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 codeName="Munka29">
    <tabColor rgb="FF00B0F0"/>
    <pageSetUpPr fitToPage="1"/>
  </sheetPr>
  <dimension ref="A1:M23"/>
  <sheetViews>
    <sheetView zoomScaleNormal="100" workbookViewId="0">
      <selection activeCell="T19" sqref="T19"/>
    </sheetView>
  </sheetViews>
  <sheetFormatPr defaultRowHeight="12.75"/>
  <cols>
    <col min="1" max="1" width="16" style="582" bestFit="1" customWidth="1"/>
    <col min="2" max="2" width="35.42578125" style="582" customWidth="1"/>
    <col min="3" max="6" width="14.7109375" style="582" customWidth="1"/>
    <col min="7" max="7" width="9.140625" style="582"/>
    <col min="8" max="13" width="0" style="582" hidden="1" customWidth="1"/>
    <col min="14" max="16384" width="9.140625" style="582"/>
  </cols>
  <sheetData>
    <row r="1" spans="1:13" ht="15.75">
      <c r="F1" s="153" t="s">
        <v>844</v>
      </c>
    </row>
    <row r="3" spans="1:13" ht="28.5" customHeight="1">
      <c r="A3" s="2017" t="s">
        <v>1332</v>
      </c>
      <c r="B3" s="2017"/>
      <c r="C3" s="2017"/>
      <c r="D3" s="2017"/>
      <c r="E3" s="2017"/>
      <c r="F3" s="2017"/>
    </row>
    <row r="4" spans="1:13" ht="14.25">
      <c r="A4" s="1091"/>
      <c r="B4" s="1091"/>
      <c r="C4" s="1091"/>
      <c r="D4" s="1091"/>
      <c r="E4" s="1091"/>
      <c r="F4" s="1091"/>
    </row>
    <row r="5" spans="1:13" ht="12.75" customHeight="1" thickBot="1">
      <c r="A5" s="1092"/>
      <c r="B5" s="1092"/>
      <c r="C5" s="1092"/>
      <c r="D5" s="1092"/>
      <c r="E5" s="1093"/>
      <c r="F5" s="1094" t="s">
        <v>984</v>
      </c>
    </row>
    <row r="6" spans="1:13" ht="14.25">
      <c r="A6" s="2009" t="s">
        <v>808</v>
      </c>
      <c r="B6" s="2010"/>
      <c r="C6" s="2013" t="s">
        <v>809</v>
      </c>
      <c r="D6" s="2014"/>
      <c r="E6" s="2013" t="s">
        <v>826</v>
      </c>
      <c r="F6" s="2014"/>
    </row>
    <row r="7" spans="1:13" ht="15.75" thickBot="1">
      <c r="A7" s="2011"/>
      <c r="B7" s="2012"/>
      <c r="C7" s="661" t="s">
        <v>810</v>
      </c>
      <c r="D7" s="662" t="s">
        <v>811</v>
      </c>
      <c r="E7" s="663">
        <v>1</v>
      </c>
      <c r="F7" s="664">
        <v>0.5</v>
      </c>
    </row>
    <row r="8" spans="1:13" ht="15">
      <c r="A8" s="2015" t="s">
        <v>812</v>
      </c>
      <c r="B8" s="2016"/>
      <c r="C8" s="629">
        <v>27</v>
      </c>
      <c r="D8" s="1095">
        <f>+ROUND(C8*1.27,0)+1</f>
        <v>35</v>
      </c>
      <c r="E8" s="629">
        <f>+D8</f>
        <v>35</v>
      </c>
      <c r="F8" s="1096">
        <f>+ROUND(E8*0.5,0)-1</f>
        <v>17</v>
      </c>
      <c r="I8" s="582">
        <v>27</v>
      </c>
      <c r="J8" s="582">
        <f>34+1</f>
        <v>35</v>
      </c>
      <c r="K8" s="582">
        <f>+I8*1.27</f>
        <v>34.29</v>
      </c>
      <c r="L8" s="582">
        <f>+C8*1.04</f>
        <v>28.080000000000002</v>
      </c>
      <c r="M8" s="582">
        <f>+E8*1.04</f>
        <v>36.4</v>
      </c>
    </row>
    <row r="9" spans="1:13" ht="15">
      <c r="A9" s="1995" t="s">
        <v>813</v>
      </c>
      <c r="B9" s="1996"/>
      <c r="C9" s="630">
        <v>49</v>
      </c>
      <c r="D9" s="637">
        <f>+ROUND(C9*1.27,0)</f>
        <v>62</v>
      </c>
      <c r="E9" s="630">
        <f>+D9</f>
        <v>62</v>
      </c>
      <c r="F9" s="631">
        <f>+ROUND(E9*0.5,0)</f>
        <v>31</v>
      </c>
      <c r="I9" s="582">
        <v>49</v>
      </c>
      <c r="J9" s="582">
        <v>62</v>
      </c>
      <c r="K9" s="582">
        <f>+I9*1.27</f>
        <v>62.230000000000004</v>
      </c>
      <c r="L9" s="582">
        <f t="shared" ref="L9:L19" si="0">+C9*1.04</f>
        <v>50.96</v>
      </c>
      <c r="M9" s="582">
        <f t="shared" ref="M9:M19" si="1">+E9*1.04</f>
        <v>64.48</v>
      </c>
    </row>
    <row r="10" spans="1:13" ht="15">
      <c r="A10" s="1995" t="s">
        <v>814</v>
      </c>
      <c r="B10" s="1996"/>
      <c r="C10" s="630">
        <v>144</v>
      </c>
      <c r="D10" s="637">
        <f>+ROUND(C10*1.27,0)</f>
        <v>183</v>
      </c>
      <c r="E10" s="630">
        <f>+D10</f>
        <v>183</v>
      </c>
      <c r="F10" s="631">
        <f>+ROUND(E10*0.5,0)</f>
        <v>92</v>
      </c>
      <c r="I10" s="582">
        <v>144</v>
      </c>
      <c r="J10" s="582">
        <v>183</v>
      </c>
      <c r="K10" s="582">
        <f>+I10*1.27</f>
        <v>182.88</v>
      </c>
      <c r="L10" s="582">
        <f t="shared" si="0"/>
        <v>149.76</v>
      </c>
      <c r="M10" s="582">
        <f t="shared" si="1"/>
        <v>190.32</v>
      </c>
    </row>
    <row r="11" spans="1:13" ht="15.75" thickBot="1">
      <c r="A11" s="1995" t="s">
        <v>815</v>
      </c>
      <c r="B11" s="1996"/>
      <c r="C11" s="630">
        <v>49</v>
      </c>
      <c r="D11" s="665">
        <f>+ROUND(C11*1.27,0)</f>
        <v>62</v>
      </c>
      <c r="E11" s="630">
        <f>+D11</f>
        <v>62</v>
      </c>
      <c r="F11" s="631">
        <f>+ROUND(E11*0.5,0)</f>
        <v>31</v>
      </c>
      <c r="I11" s="582">
        <v>49</v>
      </c>
      <c r="J11" s="582">
        <v>62</v>
      </c>
      <c r="K11" s="582">
        <f>+I11*1.27</f>
        <v>62.230000000000004</v>
      </c>
      <c r="L11" s="582">
        <f t="shared" si="0"/>
        <v>50.96</v>
      </c>
      <c r="M11" s="582">
        <f t="shared" si="1"/>
        <v>64.48</v>
      </c>
    </row>
    <row r="12" spans="1:13" ht="15" thickBot="1">
      <c r="A12" s="2003" t="s">
        <v>825</v>
      </c>
      <c r="B12" s="2004"/>
      <c r="C12" s="632">
        <f>SUM(C8:C11)</f>
        <v>269</v>
      </c>
      <c r="D12" s="633">
        <f>SUM(D8:D11)</f>
        <v>342</v>
      </c>
      <c r="E12" s="632">
        <f>SUM(E8:E11)</f>
        <v>342</v>
      </c>
      <c r="F12" s="633">
        <f>SUM(F8:F11)</f>
        <v>171</v>
      </c>
      <c r="I12" s="582">
        <f>SUM(I8:I11)</f>
        <v>269</v>
      </c>
      <c r="J12" s="582">
        <f>SUM(J8:J11)</f>
        <v>342</v>
      </c>
      <c r="K12" s="582">
        <f>+I12*1.27</f>
        <v>341.63</v>
      </c>
      <c r="L12" s="582">
        <f t="shared" si="0"/>
        <v>279.76</v>
      </c>
      <c r="M12" s="582">
        <f t="shared" si="1"/>
        <v>355.68</v>
      </c>
    </row>
    <row r="13" spans="1:13" ht="15">
      <c r="A13" s="1995" t="s">
        <v>813</v>
      </c>
      <c r="B13" s="1996"/>
      <c r="C13" s="634">
        <v>49</v>
      </c>
      <c r="D13" s="635">
        <f>+ROUND(C13*1.27,0)</f>
        <v>62</v>
      </c>
      <c r="E13" s="634">
        <f>+D13</f>
        <v>62</v>
      </c>
      <c r="F13" s="635">
        <f>+ROUND(E13*0.5,0)</f>
        <v>31</v>
      </c>
      <c r="I13" s="582">
        <v>49</v>
      </c>
      <c r="J13" s="582">
        <v>62</v>
      </c>
      <c r="K13" s="582">
        <f t="shared" ref="K13:K19" si="2">+I13*1.27</f>
        <v>62.230000000000004</v>
      </c>
      <c r="L13" s="582">
        <f t="shared" si="0"/>
        <v>50.96</v>
      </c>
      <c r="M13" s="582">
        <f t="shared" si="1"/>
        <v>64.48</v>
      </c>
    </row>
    <row r="14" spans="1:13" ht="15">
      <c r="A14" s="1995" t="s">
        <v>814</v>
      </c>
      <c r="B14" s="1996"/>
      <c r="C14" s="636">
        <v>144</v>
      </c>
      <c r="D14" s="637">
        <f>+ROUND(C14*1.27,0)</f>
        <v>183</v>
      </c>
      <c r="E14" s="636">
        <f>+D14</f>
        <v>183</v>
      </c>
      <c r="F14" s="637">
        <f>+ROUND(E14*0.5,0)</f>
        <v>92</v>
      </c>
      <c r="I14" s="582">
        <v>144</v>
      </c>
      <c r="J14" s="582">
        <v>183</v>
      </c>
      <c r="K14" s="582">
        <f t="shared" si="2"/>
        <v>182.88</v>
      </c>
      <c r="L14" s="582">
        <f t="shared" si="0"/>
        <v>149.76</v>
      </c>
      <c r="M14" s="582">
        <f t="shared" si="1"/>
        <v>190.32</v>
      </c>
    </row>
    <row r="15" spans="1:13" ht="15.75" thickBot="1">
      <c r="A15" s="1995" t="s">
        <v>815</v>
      </c>
      <c r="B15" s="1996"/>
      <c r="C15" s="630">
        <v>49</v>
      </c>
      <c r="D15" s="638">
        <f>+ROUND(C15*1.27,0)</f>
        <v>62</v>
      </c>
      <c r="E15" s="630">
        <f>+D15</f>
        <v>62</v>
      </c>
      <c r="F15" s="638">
        <f>+ROUND(E15*0.5,0)</f>
        <v>31</v>
      </c>
      <c r="I15" s="582">
        <v>49</v>
      </c>
      <c r="J15" s="582">
        <v>62</v>
      </c>
      <c r="K15" s="582">
        <f t="shared" si="2"/>
        <v>62.230000000000004</v>
      </c>
      <c r="L15" s="582">
        <f t="shared" si="0"/>
        <v>50.96</v>
      </c>
      <c r="M15" s="582">
        <f t="shared" si="1"/>
        <v>64.48</v>
      </c>
    </row>
    <row r="16" spans="1:13" ht="15.75" thickBot="1">
      <c r="A16" s="1997" t="s">
        <v>824</v>
      </c>
      <c r="B16" s="1998"/>
      <c r="C16" s="632">
        <f>SUM(C13:C15)</f>
        <v>242</v>
      </c>
      <c r="D16" s="633">
        <f>SUM(D13:D15)</f>
        <v>307</v>
      </c>
      <c r="E16" s="632">
        <f>SUM(E13:E15)</f>
        <v>307</v>
      </c>
      <c r="F16" s="633">
        <f>SUM(F13:F15)</f>
        <v>154</v>
      </c>
      <c r="I16" s="582">
        <f>SUM(I13:I15)</f>
        <v>242</v>
      </c>
      <c r="J16" s="582">
        <f>SUM(J13:J15)</f>
        <v>307</v>
      </c>
      <c r="K16" s="582">
        <f>SUM(K13:K15)</f>
        <v>307.34000000000003</v>
      </c>
      <c r="L16" s="582">
        <f t="shared" si="0"/>
        <v>251.68</v>
      </c>
      <c r="M16" s="582">
        <f t="shared" si="1"/>
        <v>319.28000000000003</v>
      </c>
    </row>
    <row r="17" spans="1:13" ht="15">
      <c r="A17" s="1999" t="s">
        <v>813</v>
      </c>
      <c r="B17" s="2000"/>
      <c r="C17" s="636">
        <v>56</v>
      </c>
      <c r="D17" s="637">
        <f>+ROUND(C17*1.27,0)</f>
        <v>71</v>
      </c>
      <c r="E17" s="636">
        <f>+D17</f>
        <v>71</v>
      </c>
      <c r="F17" s="637">
        <f>+ROUND(E17*0.5,0)-1</f>
        <v>35</v>
      </c>
      <c r="I17" s="582">
        <v>56</v>
      </c>
      <c r="J17" s="582">
        <v>71</v>
      </c>
      <c r="K17" s="582">
        <f t="shared" si="2"/>
        <v>71.12</v>
      </c>
      <c r="L17" s="582">
        <f t="shared" si="0"/>
        <v>58.24</v>
      </c>
      <c r="M17" s="582">
        <f t="shared" si="1"/>
        <v>73.84</v>
      </c>
    </row>
    <row r="18" spans="1:13" ht="15">
      <c r="A18" s="1999" t="s">
        <v>814</v>
      </c>
      <c r="B18" s="2000"/>
      <c r="C18" s="636">
        <v>168</v>
      </c>
      <c r="D18" s="637">
        <f>+ROUND(C18*1.27,0)</f>
        <v>213</v>
      </c>
      <c r="E18" s="636">
        <f>+D18</f>
        <v>213</v>
      </c>
      <c r="F18" s="637">
        <f>+ROUND(E18*0.5,0)</f>
        <v>107</v>
      </c>
      <c r="I18" s="582">
        <v>168</v>
      </c>
      <c r="J18" s="582">
        <f>214-1</f>
        <v>213</v>
      </c>
      <c r="K18" s="582">
        <f t="shared" si="2"/>
        <v>213.36</v>
      </c>
      <c r="L18" s="582">
        <f t="shared" si="0"/>
        <v>174.72</v>
      </c>
      <c r="M18" s="582">
        <f t="shared" si="1"/>
        <v>221.52</v>
      </c>
    </row>
    <row r="19" spans="1:13" ht="15.75" thickBot="1">
      <c r="A19" s="2001" t="s">
        <v>815</v>
      </c>
      <c r="B19" s="2002"/>
      <c r="C19" s="639">
        <v>56</v>
      </c>
      <c r="D19" s="640">
        <f>+ROUND(C19*1.27,0)+1</f>
        <v>72</v>
      </c>
      <c r="E19" s="639">
        <f>+D19</f>
        <v>72</v>
      </c>
      <c r="F19" s="640">
        <f>+ROUND(E19*0.5,0)</f>
        <v>36</v>
      </c>
      <c r="I19" s="582">
        <v>56</v>
      </c>
      <c r="J19" s="582">
        <f>71+1</f>
        <v>72</v>
      </c>
      <c r="K19" s="582">
        <f t="shared" si="2"/>
        <v>71.12</v>
      </c>
      <c r="L19" s="582">
        <f t="shared" si="0"/>
        <v>58.24</v>
      </c>
      <c r="M19" s="582">
        <f t="shared" si="1"/>
        <v>74.88</v>
      </c>
    </row>
    <row r="20" spans="1:13" ht="15" thickBot="1">
      <c r="A20" s="2003" t="s">
        <v>823</v>
      </c>
      <c r="B20" s="2004"/>
      <c r="C20" s="632">
        <f>SUM(C17:C19)</f>
        <v>280</v>
      </c>
      <c r="D20" s="633">
        <f>SUM(D17:D19)</f>
        <v>356</v>
      </c>
      <c r="E20" s="632">
        <f>SUM(E17:E19)</f>
        <v>356</v>
      </c>
      <c r="F20" s="633">
        <f>SUM(F17:F19)</f>
        <v>178</v>
      </c>
      <c r="I20" s="582">
        <f>SUM(I17:I19)</f>
        <v>280</v>
      </c>
      <c r="J20" s="582">
        <f>SUM(J17:J19)</f>
        <v>356</v>
      </c>
      <c r="K20" s="582">
        <f>SUM(K17:K19)</f>
        <v>355.6</v>
      </c>
      <c r="L20" s="582">
        <f>+C20*1.04</f>
        <v>291.2</v>
      </c>
      <c r="M20" s="582">
        <f>+E20*1.04</f>
        <v>370.24</v>
      </c>
    </row>
    <row r="21" spans="1:13" ht="15" customHeight="1" thickBot="1">
      <c r="A21" s="2007" t="s">
        <v>1173</v>
      </c>
      <c r="B21" s="2008"/>
      <c r="C21" s="632">
        <v>309</v>
      </c>
      <c r="D21" s="633">
        <f>+ROUND(C21*1.27,0)</f>
        <v>392</v>
      </c>
      <c r="E21" s="632">
        <v>604</v>
      </c>
      <c r="F21" s="796" t="s">
        <v>19</v>
      </c>
    </row>
    <row r="22" spans="1:13" ht="15" thickBot="1">
      <c r="A22" s="2005"/>
      <c r="B22" s="2006"/>
      <c r="C22" s="632"/>
      <c r="D22" s="633"/>
      <c r="E22" s="632"/>
      <c r="F22" s="633"/>
    </row>
    <row r="23" spans="1:13" ht="15" customHeight="1" thickBot="1">
      <c r="A23" s="1993" t="s">
        <v>816</v>
      </c>
      <c r="B23" s="1994"/>
      <c r="C23" s="641">
        <v>329</v>
      </c>
      <c r="D23" s="666">
        <f>+ROUND(C23*1.27,0)</f>
        <v>418</v>
      </c>
      <c r="E23" s="641">
        <v>800</v>
      </c>
      <c r="F23" s="796" t="s">
        <v>19</v>
      </c>
    </row>
  </sheetData>
  <mergeCells count="20">
    <mergeCell ref="C6:D6"/>
    <mergeCell ref="E6:F6"/>
    <mergeCell ref="A8:B8"/>
    <mergeCell ref="A9:B9"/>
    <mergeCell ref="A3:F3"/>
    <mergeCell ref="A13:B13"/>
    <mergeCell ref="A14:B14"/>
    <mergeCell ref="A22:B22"/>
    <mergeCell ref="A21:B21"/>
    <mergeCell ref="A6:B7"/>
    <mergeCell ref="A10:B10"/>
    <mergeCell ref="A11:B11"/>
    <mergeCell ref="A12:B12"/>
    <mergeCell ref="A23:B23"/>
    <mergeCell ref="A15:B15"/>
    <mergeCell ref="A16:B16"/>
    <mergeCell ref="A17:B17"/>
    <mergeCell ref="A18:B18"/>
    <mergeCell ref="A19:B19"/>
    <mergeCell ref="A20:B20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 codeName="Munka30">
    <tabColor rgb="FF00B0F0"/>
  </sheetPr>
  <dimension ref="A1:Q134"/>
  <sheetViews>
    <sheetView topLeftCell="A88" zoomScaleNormal="100" workbookViewId="0">
      <selection activeCell="T110" sqref="T110"/>
    </sheetView>
  </sheetViews>
  <sheetFormatPr defaultRowHeight="12"/>
  <cols>
    <col min="1" max="1" width="6" style="593" customWidth="1"/>
    <col min="2" max="2" width="10.5703125" style="584" customWidth="1"/>
    <col min="3" max="3" width="13.28515625" style="584" customWidth="1"/>
    <col min="4" max="4" width="10.5703125" style="584" customWidth="1"/>
    <col min="5" max="5" width="52.5703125" style="584" customWidth="1"/>
    <col min="6" max="6" width="8.28515625" style="585" customWidth="1"/>
    <col min="7" max="7" width="8.28515625" style="728" customWidth="1"/>
    <col min="8" max="9" width="9.140625" style="585" hidden="1" customWidth="1"/>
    <col min="10" max="12" width="9.140625" style="584" hidden="1" customWidth="1"/>
    <col min="13" max="16" width="0" style="584" hidden="1" customWidth="1"/>
    <col min="17" max="16384" width="9.140625" style="584"/>
  </cols>
  <sheetData>
    <row r="1" spans="1:11" s="589" customFormat="1" ht="15.75">
      <c r="A1" s="590"/>
      <c r="F1" s="583" t="s">
        <v>817</v>
      </c>
      <c r="G1" s="583"/>
      <c r="H1" s="754"/>
      <c r="I1" s="754"/>
    </row>
    <row r="2" spans="1:11" s="589" customFormat="1" ht="15.75">
      <c r="A2" s="590"/>
      <c r="F2" s="583"/>
      <c r="G2" s="583"/>
      <c r="H2" s="754"/>
      <c r="I2" s="754"/>
    </row>
    <row r="3" spans="1:11" s="589" customFormat="1" ht="15.75">
      <c r="A3" s="2030" t="s">
        <v>1393</v>
      </c>
      <c r="B3" s="2030"/>
      <c r="C3" s="2030"/>
      <c r="D3" s="2030"/>
      <c r="E3" s="2030"/>
      <c r="F3" s="2030"/>
      <c r="G3" s="724"/>
      <c r="H3" s="754"/>
      <c r="I3" s="754"/>
    </row>
    <row r="4" spans="1:11" ht="12.75" thickBot="1">
      <c r="A4" s="592"/>
      <c r="B4" s="852"/>
      <c r="C4" s="852"/>
      <c r="D4" s="852"/>
      <c r="E4" s="852"/>
      <c r="F4" s="586" t="s">
        <v>458</v>
      </c>
      <c r="G4" s="586"/>
    </row>
    <row r="5" spans="1:11" s="588" customFormat="1" ht="12.75" thickBot="1">
      <c r="A5" s="591" t="s">
        <v>4</v>
      </c>
      <c r="B5" s="588" t="s">
        <v>80</v>
      </c>
      <c r="D5" s="692"/>
      <c r="E5" s="692"/>
      <c r="F5" s="694">
        <f>+F7+F26+F31+F34+F37+F46+F51+F59</f>
        <v>138386</v>
      </c>
      <c r="G5" s="695"/>
      <c r="H5" s="755"/>
      <c r="I5" s="755"/>
      <c r="J5" s="584"/>
    </row>
    <row r="6" spans="1:11">
      <c r="A6" s="592"/>
      <c r="B6" s="852"/>
      <c r="C6" s="852"/>
      <c r="D6" s="852"/>
      <c r="E6" s="852"/>
      <c r="F6" s="587"/>
      <c r="G6" s="725"/>
    </row>
    <row r="7" spans="1:11" s="588" customFormat="1">
      <c r="A7" s="691" t="s">
        <v>81</v>
      </c>
      <c r="B7" s="643" t="s">
        <v>820</v>
      </c>
      <c r="C7" s="692"/>
      <c r="D7" s="692"/>
      <c r="E7" s="692"/>
      <c r="F7" s="642">
        <f>+F10+F12+F14+F16+F18+F20+F22+F24</f>
        <v>29200</v>
      </c>
      <c r="G7" s="695"/>
      <c r="H7" s="755"/>
      <c r="I7" s="755"/>
      <c r="J7" s="584"/>
    </row>
    <row r="8" spans="1:11" ht="24.75" customHeight="1">
      <c r="A8" s="592"/>
      <c r="B8" s="2023" t="s">
        <v>1394</v>
      </c>
      <c r="C8" s="2023"/>
      <c r="D8" s="2023"/>
      <c r="E8" s="2023"/>
      <c r="F8" s="587"/>
      <c r="G8" s="725"/>
    </row>
    <row r="9" spans="1:11">
      <c r="A9" s="592"/>
      <c r="B9" s="851"/>
      <c r="C9" s="851"/>
      <c r="D9" s="851"/>
      <c r="E9" s="851"/>
      <c r="F9" s="587"/>
      <c r="G9" s="725"/>
    </row>
    <row r="10" spans="1:11" ht="36.75" customHeight="1">
      <c r="A10" s="592"/>
      <c r="B10" s="2022" t="s">
        <v>1426</v>
      </c>
      <c r="C10" s="2022"/>
      <c r="D10" s="2022"/>
      <c r="E10" s="2022"/>
      <c r="F10" s="587">
        <v>7000</v>
      </c>
      <c r="G10" s="725"/>
      <c r="H10" s="585">
        <f>+ROUND(F10/1.27,0)</f>
        <v>5512</v>
      </c>
      <c r="I10" s="585">
        <f>+F10-H10</f>
        <v>1488</v>
      </c>
      <c r="J10" s="584" t="s">
        <v>1056</v>
      </c>
    </row>
    <row r="11" spans="1:11">
      <c r="A11" s="592"/>
      <c r="B11" s="851"/>
      <c r="C11" s="851"/>
      <c r="D11" s="851"/>
      <c r="E11" s="851"/>
      <c r="F11" s="587"/>
      <c r="G11" s="725"/>
    </row>
    <row r="12" spans="1:11" ht="30" customHeight="1">
      <c r="A12" s="592"/>
      <c r="B12" s="2027" t="s">
        <v>1430</v>
      </c>
      <c r="C12" s="2027"/>
      <c r="D12" s="2027"/>
      <c r="E12" s="2027"/>
      <c r="F12" s="725">
        <f>40000-29000</f>
        <v>11000</v>
      </c>
      <c r="G12" s="725"/>
      <c r="H12" s="585">
        <f>+ROUND(F12/1.27,0)</f>
        <v>8661</v>
      </c>
      <c r="I12" s="585">
        <f>+F12-H12</f>
        <v>2339</v>
      </c>
      <c r="J12" s="584" t="s">
        <v>1056</v>
      </c>
      <c r="K12" s="584" t="s">
        <v>1072</v>
      </c>
    </row>
    <row r="13" spans="1:11">
      <c r="A13" s="592"/>
      <c r="B13" s="853"/>
      <c r="C13" s="853"/>
      <c r="D13" s="853"/>
      <c r="E13" s="853"/>
      <c r="F13" s="587"/>
      <c r="G13" s="725"/>
    </row>
    <row r="14" spans="1:11" ht="25.5" customHeight="1">
      <c r="A14" s="592"/>
      <c r="B14" s="2025" t="s">
        <v>1427</v>
      </c>
      <c r="C14" s="2026"/>
      <c r="D14" s="2026"/>
      <c r="E14" s="2026"/>
      <c r="F14" s="587">
        <v>1000</v>
      </c>
      <c r="G14" s="725"/>
      <c r="H14" s="585">
        <f>+ROUND(F14/1.27,0)</f>
        <v>787</v>
      </c>
      <c r="I14" s="585">
        <f>+F14-H14</f>
        <v>213</v>
      </c>
      <c r="J14" s="584" t="s">
        <v>1056</v>
      </c>
    </row>
    <row r="15" spans="1:11">
      <c r="A15" s="592"/>
      <c r="B15" s="853"/>
      <c r="C15" s="853"/>
      <c r="D15" s="853"/>
      <c r="E15" s="853"/>
      <c r="F15" s="587"/>
      <c r="G15" s="725"/>
    </row>
    <row r="16" spans="1:11" ht="28.5" customHeight="1">
      <c r="A16" s="592"/>
      <c r="B16" s="2027" t="s">
        <v>1428</v>
      </c>
      <c r="C16" s="2027"/>
      <c r="D16" s="2027"/>
      <c r="E16" s="2027"/>
      <c r="F16" s="587">
        <v>1500</v>
      </c>
      <c r="G16" s="725"/>
      <c r="H16" s="585">
        <f>+ROUND(F16/1.27,0)</f>
        <v>1181</v>
      </c>
      <c r="I16" s="585">
        <f>+F16-H16</f>
        <v>319</v>
      </c>
      <c r="J16" s="584" t="s">
        <v>1056</v>
      </c>
    </row>
    <row r="17" spans="1:17">
      <c r="A17" s="592"/>
      <c r="B17" s="853"/>
      <c r="C17" s="853"/>
      <c r="D17" s="853"/>
      <c r="E17" s="853"/>
      <c r="F17" s="587"/>
      <c r="G17" s="725"/>
    </row>
    <row r="18" spans="1:17">
      <c r="A18" s="592"/>
      <c r="B18" s="2027" t="s">
        <v>1429</v>
      </c>
      <c r="C18" s="2027"/>
      <c r="D18" s="2027"/>
      <c r="E18" s="2027"/>
      <c r="F18" s="587">
        <v>700</v>
      </c>
      <c r="G18" s="725"/>
      <c r="H18" s="585">
        <f>+ROUND(F18/1.27,0)</f>
        <v>551</v>
      </c>
      <c r="I18" s="585">
        <f>+F18-H18</f>
        <v>149</v>
      </c>
      <c r="J18" s="584" t="s">
        <v>1056</v>
      </c>
    </row>
    <row r="19" spans="1:17">
      <c r="A19" s="592"/>
      <c r="B19" s="853"/>
      <c r="C19" s="853"/>
      <c r="D19" s="853"/>
      <c r="E19" s="853"/>
      <c r="F19" s="587"/>
      <c r="G19" s="725"/>
    </row>
    <row r="20" spans="1:17">
      <c r="A20" s="592"/>
      <c r="B20" s="2028" t="s">
        <v>1395</v>
      </c>
      <c r="C20" s="2028"/>
      <c r="D20" s="2028"/>
      <c r="E20" s="2028"/>
      <c r="F20" s="587">
        <v>0</v>
      </c>
      <c r="G20" s="725"/>
      <c r="H20" s="585">
        <f>+ROUND(F20/1.27,0)</f>
        <v>0</v>
      </c>
      <c r="I20" s="585">
        <f>+F20-H20</f>
        <v>0</v>
      </c>
      <c r="J20" s="584" t="s">
        <v>1056</v>
      </c>
    </row>
    <row r="21" spans="1:17">
      <c r="A21" s="592"/>
      <c r="B21" s="853"/>
      <c r="C21" s="853"/>
      <c r="D21" s="853"/>
      <c r="E21" s="853"/>
      <c r="F21" s="587"/>
      <c r="G21" s="725"/>
    </row>
    <row r="22" spans="1:17">
      <c r="A22" s="592"/>
      <c r="B22" s="2025" t="s">
        <v>1396</v>
      </c>
      <c r="C22" s="2026"/>
      <c r="D22" s="2026"/>
      <c r="E22" s="2026"/>
      <c r="F22" s="725">
        <f>2000-1000</f>
        <v>1000</v>
      </c>
      <c r="G22" s="725"/>
      <c r="H22" s="585">
        <f>+ROUND(F22/1.27,0)</f>
        <v>787</v>
      </c>
      <c r="I22" s="585">
        <f>+F22-H22</f>
        <v>213</v>
      </c>
      <c r="J22" s="584" t="s">
        <v>1056</v>
      </c>
    </row>
    <row r="23" spans="1:17" s="588" customFormat="1">
      <c r="A23" s="592"/>
      <c r="B23" s="853"/>
      <c r="C23" s="853"/>
      <c r="D23" s="853"/>
      <c r="E23" s="853"/>
      <c r="F23" s="587"/>
      <c r="G23" s="725"/>
      <c r="H23" s="585"/>
      <c r="I23" s="585"/>
      <c r="J23" s="584"/>
      <c r="K23" s="584"/>
      <c r="L23" s="584"/>
      <c r="M23" s="584"/>
      <c r="N23" s="584"/>
      <c r="O23" s="584"/>
      <c r="P23" s="584"/>
      <c r="Q23" s="584"/>
    </row>
    <row r="24" spans="1:17">
      <c r="A24" s="592"/>
      <c r="B24" s="2027" t="s">
        <v>1397</v>
      </c>
      <c r="C24" s="2027"/>
      <c r="D24" s="2027"/>
      <c r="E24" s="2027"/>
      <c r="F24" s="587">
        <v>7000</v>
      </c>
      <c r="G24" s="725"/>
      <c r="H24" s="585">
        <f>+ROUND(F24/1.27,0)</f>
        <v>5512</v>
      </c>
      <c r="I24" s="585">
        <f>+F24-H24</f>
        <v>1488</v>
      </c>
      <c r="J24" s="584" t="s">
        <v>1056</v>
      </c>
      <c r="N24" s="584" t="s">
        <v>1398</v>
      </c>
    </row>
    <row r="25" spans="1:17">
      <c r="A25" s="592"/>
      <c r="B25" s="852"/>
      <c r="C25" s="852"/>
      <c r="D25" s="852"/>
      <c r="E25" s="852"/>
      <c r="F25" s="587"/>
      <c r="G25" s="725"/>
    </row>
    <row r="26" spans="1:17" s="588" customFormat="1">
      <c r="A26" s="691" t="s">
        <v>82</v>
      </c>
      <c r="B26" s="643" t="s">
        <v>653</v>
      </c>
      <c r="C26" s="692"/>
      <c r="D26" s="692"/>
      <c r="E26" s="692"/>
      <c r="F26" s="642">
        <f>+F27+F29</f>
        <v>27000</v>
      </c>
      <c r="G26" s="695"/>
      <c r="H26" s="585"/>
      <c r="I26" s="585"/>
      <c r="J26" s="584"/>
    </row>
    <row r="27" spans="1:17">
      <c r="A27" s="592"/>
      <c r="B27" s="2022" t="s">
        <v>1399</v>
      </c>
      <c r="C27" s="2022"/>
      <c r="D27" s="2022"/>
      <c r="E27" s="2022"/>
      <c r="F27" s="587">
        <v>25000</v>
      </c>
      <c r="G27" s="725"/>
      <c r="H27" s="585">
        <f>+ROUND(F27/1.27,0)</f>
        <v>19685</v>
      </c>
      <c r="I27" s="585">
        <f>+F27-H27</f>
        <v>5315</v>
      </c>
      <c r="J27" s="584" t="s">
        <v>1057</v>
      </c>
    </row>
    <row r="28" spans="1:17">
      <c r="A28" s="592"/>
      <c r="B28" s="851"/>
      <c r="C28" s="851"/>
      <c r="D28" s="851"/>
      <c r="E28" s="851"/>
      <c r="F28" s="587"/>
      <c r="G28" s="725"/>
    </row>
    <row r="29" spans="1:17" s="588" customFormat="1">
      <c r="A29" s="592"/>
      <c r="B29" s="2018" t="s">
        <v>1431</v>
      </c>
      <c r="C29" s="2018"/>
      <c r="D29" s="2018"/>
      <c r="E29" s="2018"/>
      <c r="F29" s="587">
        <v>2000</v>
      </c>
      <c r="G29" s="725"/>
      <c r="H29" s="585">
        <f>+ROUND(F29/1.27,0)</f>
        <v>1575</v>
      </c>
      <c r="I29" s="585">
        <f>+F29-H29</f>
        <v>425</v>
      </c>
      <c r="J29" s="584" t="s">
        <v>1057</v>
      </c>
      <c r="K29" s="584" t="s">
        <v>1071</v>
      </c>
      <c r="L29" s="584"/>
      <c r="M29" s="584"/>
      <c r="N29" s="584"/>
      <c r="O29" s="584"/>
      <c r="P29" s="584"/>
      <c r="Q29" s="584"/>
    </row>
    <row r="30" spans="1:17" s="588" customFormat="1">
      <c r="A30" s="592"/>
      <c r="B30" s="2024"/>
      <c r="C30" s="2024"/>
      <c r="D30" s="2024"/>
      <c r="E30" s="2024"/>
      <c r="F30" s="587"/>
      <c r="G30" s="725"/>
      <c r="H30" s="585"/>
      <c r="I30" s="585"/>
      <c r="J30" s="584"/>
      <c r="K30" s="584"/>
      <c r="L30" s="584"/>
      <c r="M30" s="584"/>
      <c r="N30" s="584"/>
      <c r="O30" s="584"/>
      <c r="P30" s="584"/>
      <c r="Q30" s="584"/>
    </row>
    <row r="31" spans="1:17">
      <c r="A31" s="691" t="s">
        <v>828</v>
      </c>
      <c r="B31" s="643" t="s">
        <v>1433</v>
      </c>
      <c r="C31" s="692"/>
      <c r="D31" s="692"/>
      <c r="E31" s="692"/>
      <c r="F31" s="642">
        <v>2500</v>
      </c>
      <c r="G31" s="695"/>
      <c r="H31" s="585">
        <f>+ROUND(F31/1.27,0)</f>
        <v>1969</v>
      </c>
      <c r="I31" s="585">
        <f>+F31-H31</f>
        <v>531</v>
      </c>
      <c r="J31" s="584" t="s">
        <v>1058</v>
      </c>
      <c r="K31" s="588"/>
      <c r="L31" s="588"/>
      <c r="M31" s="588"/>
      <c r="N31" s="588"/>
      <c r="O31" s="588"/>
      <c r="P31" s="588"/>
      <c r="Q31" s="588"/>
    </row>
    <row r="32" spans="1:17" ht="24" customHeight="1">
      <c r="A32" s="592"/>
      <c r="B32" s="2022" t="s">
        <v>1400</v>
      </c>
      <c r="C32" s="2022"/>
      <c r="D32" s="2022"/>
      <c r="E32" s="2022"/>
      <c r="F32" s="587"/>
      <c r="G32" s="725"/>
    </row>
    <row r="33" spans="1:17">
      <c r="A33" s="592"/>
      <c r="B33" s="852"/>
      <c r="C33" s="852"/>
      <c r="D33" s="852"/>
      <c r="E33" s="852"/>
      <c r="F33" s="587"/>
      <c r="G33" s="725"/>
    </row>
    <row r="34" spans="1:17">
      <c r="A34" s="691" t="s">
        <v>829</v>
      </c>
      <c r="B34" s="643" t="s">
        <v>1434</v>
      </c>
      <c r="C34" s="692"/>
      <c r="D34" s="692"/>
      <c r="E34" s="692"/>
      <c r="F34" s="642">
        <v>7000</v>
      </c>
      <c r="G34" s="695"/>
      <c r="H34" s="585">
        <f>+ROUND(F34/1.27,0)</f>
        <v>5512</v>
      </c>
      <c r="I34" s="585">
        <f>+F34-H34</f>
        <v>1488</v>
      </c>
      <c r="J34" s="584" t="s">
        <v>1059</v>
      </c>
      <c r="K34" s="588"/>
      <c r="L34" s="584" t="s">
        <v>1432</v>
      </c>
      <c r="M34" s="588"/>
      <c r="N34" s="584" t="s">
        <v>1398</v>
      </c>
      <c r="Q34" s="588"/>
    </row>
    <row r="35" spans="1:17" ht="28.5" customHeight="1">
      <c r="A35" s="592"/>
      <c r="B35" s="2022" t="s">
        <v>1401</v>
      </c>
      <c r="C35" s="2022"/>
      <c r="D35" s="2022"/>
      <c r="E35" s="2022"/>
      <c r="F35" s="587"/>
      <c r="G35" s="725"/>
    </row>
    <row r="36" spans="1:17">
      <c r="A36" s="592"/>
      <c r="B36" s="852"/>
      <c r="C36" s="852"/>
      <c r="D36" s="852"/>
      <c r="E36" s="852"/>
      <c r="F36" s="587"/>
      <c r="G36" s="725"/>
    </row>
    <row r="37" spans="1:17" s="588" customFormat="1">
      <c r="A37" s="691" t="s">
        <v>830</v>
      </c>
      <c r="B37" s="643" t="s">
        <v>1435</v>
      </c>
      <c r="C37" s="692"/>
      <c r="D37" s="692"/>
      <c r="E37" s="692"/>
      <c r="F37" s="642">
        <f>+F39+F40+F41+F42+F43+F44</f>
        <v>10500</v>
      </c>
      <c r="G37" s="695"/>
      <c r="H37" s="755"/>
      <c r="I37" s="755"/>
      <c r="J37" s="584"/>
      <c r="N37" s="584" t="s">
        <v>1398</v>
      </c>
      <c r="O37" s="584"/>
      <c r="P37" s="584"/>
    </row>
    <row r="38" spans="1:17" ht="25.5" customHeight="1">
      <c r="A38" s="592"/>
      <c r="B38" s="2022" t="s">
        <v>1183</v>
      </c>
      <c r="C38" s="2022"/>
      <c r="D38" s="2022"/>
      <c r="E38" s="2022"/>
      <c r="F38" s="587"/>
      <c r="G38" s="725"/>
    </row>
    <row r="39" spans="1:17">
      <c r="A39" s="592"/>
      <c r="B39" s="2018" t="s">
        <v>1053</v>
      </c>
      <c r="C39" s="2018"/>
      <c r="D39" s="2018"/>
      <c r="E39" s="2018"/>
      <c r="F39" s="587">
        <v>1000</v>
      </c>
      <c r="G39" s="725"/>
      <c r="H39" s="585">
        <f t="shared" ref="H39:H44" si="0">+ROUND(F39/1.27,0)</f>
        <v>787</v>
      </c>
      <c r="I39" s="585">
        <f t="shared" ref="I39:I44" si="1">+F39-H39</f>
        <v>213</v>
      </c>
      <c r="J39" s="584" t="s">
        <v>1060</v>
      </c>
      <c r="N39" s="584" t="s">
        <v>1398</v>
      </c>
    </row>
    <row r="40" spans="1:17">
      <c r="A40" s="592"/>
      <c r="B40" s="2019" t="s">
        <v>1402</v>
      </c>
      <c r="C40" s="2019"/>
      <c r="D40" s="2019"/>
      <c r="E40" s="2019"/>
      <c r="F40" s="587">
        <v>1000</v>
      </c>
      <c r="G40" s="725"/>
      <c r="H40" s="585">
        <f t="shared" si="0"/>
        <v>787</v>
      </c>
      <c r="I40" s="585">
        <f t="shared" si="1"/>
        <v>213</v>
      </c>
      <c r="J40" s="584" t="s">
        <v>1060</v>
      </c>
      <c r="N40" s="584" t="s">
        <v>1398</v>
      </c>
    </row>
    <row r="41" spans="1:17">
      <c r="A41" s="592"/>
      <c r="B41" s="2019" t="s">
        <v>1403</v>
      </c>
      <c r="C41" s="2019"/>
      <c r="D41" s="2019"/>
      <c r="E41" s="2019"/>
      <c r="F41" s="587">
        <v>3000</v>
      </c>
      <c r="G41" s="725"/>
      <c r="H41" s="585">
        <f t="shared" si="0"/>
        <v>2362</v>
      </c>
      <c r="I41" s="585">
        <f t="shared" si="1"/>
        <v>638</v>
      </c>
      <c r="J41" s="584" t="s">
        <v>1060</v>
      </c>
      <c r="N41" s="584" t="s">
        <v>1398</v>
      </c>
    </row>
    <row r="42" spans="1:17" s="588" customFormat="1">
      <c r="A42" s="592"/>
      <c r="B42" s="2029" t="s">
        <v>821</v>
      </c>
      <c r="C42" s="2029"/>
      <c r="D42" s="2029"/>
      <c r="E42" s="2029"/>
      <c r="F42" s="587">
        <f>0+3000</f>
        <v>3000</v>
      </c>
      <c r="G42" s="725"/>
      <c r="H42" s="585">
        <f>+ROUND(F42/1.27,0)</f>
        <v>2362</v>
      </c>
      <c r="I42" s="585">
        <f>+F42-H42</f>
        <v>638</v>
      </c>
      <c r="J42" s="584" t="s">
        <v>1060</v>
      </c>
      <c r="K42" s="584"/>
      <c r="L42" s="584"/>
      <c r="M42" s="584"/>
      <c r="N42" s="584" t="s">
        <v>1398</v>
      </c>
      <c r="O42" s="584"/>
      <c r="P42" s="584"/>
      <c r="Q42" s="584"/>
    </row>
    <row r="43" spans="1:17">
      <c r="A43" s="592"/>
      <c r="B43" s="2029" t="s">
        <v>1054</v>
      </c>
      <c r="C43" s="2029"/>
      <c r="D43" s="2029"/>
      <c r="E43" s="2029"/>
      <c r="F43" s="587">
        <v>0</v>
      </c>
      <c r="G43" s="725"/>
      <c r="H43" s="585">
        <f t="shared" si="0"/>
        <v>0</v>
      </c>
      <c r="I43" s="585">
        <f t="shared" si="1"/>
        <v>0</v>
      </c>
      <c r="J43" s="584" t="s">
        <v>1060</v>
      </c>
      <c r="N43" s="584" t="s">
        <v>1398</v>
      </c>
    </row>
    <row r="44" spans="1:17">
      <c r="A44" s="592"/>
      <c r="B44" s="2029" t="s">
        <v>1404</v>
      </c>
      <c r="C44" s="2029"/>
      <c r="D44" s="2029"/>
      <c r="E44" s="2029"/>
      <c r="F44" s="587">
        <v>2500</v>
      </c>
      <c r="G44" s="725"/>
      <c r="H44" s="585">
        <f t="shared" si="0"/>
        <v>1969</v>
      </c>
      <c r="I44" s="585">
        <f t="shared" si="1"/>
        <v>531</v>
      </c>
      <c r="J44" s="584" t="s">
        <v>1060</v>
      </c>
    </row>
    <row r="45" spans="1:17">
      <c r="A45" s="592"/>
      <c r="B45" s="852"/>
      <c r="C45" s="852"/>
      <c r="D45" s="852"/>
      <c r="E45" s="852"/>
      <c r="F45" s="587"/>
      <c r="G45" s="725"/>
    </row>
    <row r="46" spans="1:17">
      <c r="A46" s="691" t="s">
        <v>831</v>
      </c>
      <c r="B46" s="643" t="s">
        <v>1436</v>
      </c>
      <c r="C46" s="692"/>
      <c r="D46" s="692"/>
      <c r="E46" s="692"/>
      <c r="F46" s="642">
        <f>+F47+F49</f>
        <v>3500</v>
      </c>
      <c r="G46" s="695"/>
      <c r="K46" s="588"/>
      <c r="L46" s="588"/>
      <c r="M46" s="588"/>
      <c r="N46" s="588"/>
      <c r="O46" s="588"/>
      <c r="P46" s="588"/>
      <c r="Q46" s="588"/>
    </row>
    <row r="47" spans="1:17">
      <c r="A47" s="592"/>
      <c r="B47" s="2022" t="s">
        <v>1438</v>
      </c>
      <c r="C47" s="2022"/>
      <c r="D47" s="2022"/>
      <c r="E47" s="2022"/>
      <c r="F47" s="587">
        <v>3000</v>
      </c>
      <c r="G47" s="725"/>
      <c r="H47" s="585">
        <f>+ROUND(F47/1.27,0)</f>
        <v>2362</v>
      </c>
      <c r="I47" s="585">
        <f>+F47-H47</f>
        <v>638</v>
      </c>
      <c r="J47" s="584" t="s">
        <v>1061</v>
      </c>
    </row>
    <row r="48" spans="1:17" s="588" customFormat="1">
      <c r="A48" s="592"/>
      <c r="B48" s="851"/>
      <c r="C48" s="851"/>
      <c r="D48" s="851"/>
      <c r="E48" s="851"/>
      <c r="F48" s="587"/>
      <c r="G48" s="725"/>
      <c r="H48" s="585"/>
      <c r="I48" s="585"/>
      <c r="J48" s="584"/>
      <c r="K48" s="584"/>
      <c r="L48" s="584"/>
      <c r="M48" s="584"/>
      <c r="N48" s="584"/>
      <c r="O48" s="584"/>
      <c r="P48" s="584"/>
      <c r="Q48" s="584"/>
    </row>
    <row r="49" spans="1:17" ht="39" customHeight="1">
      <c r="A49" s="592"/>
      <c r="B49" s="2018" t="s">
        <v>1437</v>
      </c>
      <c r="C49" s="2018"/>
      <c r="D49" s="2018"/>
      <c r="E49" s="2018"/>
      <c r="F49" s="587">
        <v>500</v>
      </c>
      <c r="G49" s="725"/>
      <c r="H49" s="585">
        <f>+ROUND(F49/1.27,0)</f>
        <v>394</v>
      </c>
      <c r="I49" s="585">
        <f>+F49-H49</f>
        <v>106</v>
      </c>
      <c r="J49" s="584" t="s">
        <v>1061</v>
      </c>
    </row>
    <row r="50" spans="1:17">
      <c r="A50" s="592"/>
      <c r="B50" s="852"/>
      <c r="C50" s="852"/>
      <c r="D50" s="852"/>
      <c r="E50" s="852"/>
      <c r="F50" s="587"/>
      <c r="G50" s="725"/>
    </row>
    <row r="51" spans="1:17">
      <c r="A51" s="691" t="s">
        <v>832</v>
      </c>
      <c r="B51" s="643" t="s">
        <v>1450</v>
      </c>
      <c r="C51" s="692"/>
      <c r="D51" s="692"/>
      <c r="E51" s="692"/>
      <c r="F51" s="642">
        <f>+F53+F55+F57</f>
        <v>14900</v>
      </c>
      <c r="G51" s="695"/>
      <c r="H51" s="755"/>
      <c r="I51" s="755"/>
      <c r="K51" s="588"/>
      <c r="L51" s="588"/>
      <c r="M51" s="588"/>
      <c r="N51" s="588"/>
      <c r="O51" s="588"/>
      <c r="P51" s="588"/>
      <c r="Q51" s="588"/>
    </row>
    <row r="52" spans="1:17">
      <c r="A52" s="592"/>
      <c r="B52" s="851"/>
      <c r="C52" s="851"/>
      <c r="D52" s="851"/>
      <c r="E52" s="851"/>
      <c r="F52" s="587"/>
      <c r="G52" s="725"/>
    </row>
    <row r="53" spans="1:17">
      <c r="A53" s="592"/>
      <c r="B53" s="2022" t="s">
        <v>1441</v>
      </c>
      <c r="C53" s="2022"/>
      <c r="D53" s="2022"/>
      <c r="E53" s="2022"/>
      <c r="F53" s="725">
        <f>4000-2000</f>
        <v>2000</v>
      </c>
      <c r="G53" s="725"/>
      <c r="H53" s="585">
        <f>+ROUND(F53/1.27,0)</f>
        <v>1575</v>
      </c>
      <c r="I53" s="585">
        <f>+F53-H53</f>
        <v>425</v>
      </c>
      <c r="J53" s="584" t="s">
        <v>981</v>
      </c>
    </row>
    <row r="54" spans="1:17">
      <c r="A54" s="592"/>
      <c r="B54" s="851"/>
      <c r="C54" s="851"/>
      <c r="D54" s="851"/>
      <c r="E54" s="851"/>
      <c r="F54" s="725"/>
      <c r="G54" s="725"/>
    </row>
    <row r="55" spans="1:17">
      <c r="A55" s="592"/>
      <c r="B55" s="2022" t="s">
        <v>1439</v>
      </c>
      <c r="C55" s="2022"/>
      <c r="D55" s="2022"/>
      <c r="E55" s="2022"/>
      <c r="F55" s="725">
        <f>5000-1000</f>
        <v>4000</v>
      </c>
      <c r="G55" s="725"/>
      <c r="H55" s="585">
        <f>+ROUND(F55/1.27,0)</f>
        <v>3150</v>
      </c>
      <c r="I55" s="585">
        <f>+F55-H55</f>
        <v>850</v>
      </c>
      <c r="J55" s="584" t="s">
        <v>981</v>
      </c>
    </row>
    <row r="56" spans="1:17">
      <c r="A56" s="592"/>
      <c r="B56" s="851"/>
      <c r="C56" s="851"/>
      <c r="D56" s="851"/>
      <c r="E56" s="851"/>
      <c r="F56" s="587"/>
      <c r="G56" s="725"/>
    </row>
    <row r="57" spans="1:17">
      <c r="B57" s="2018" t="s">
        <v>1440</v>
      </c>
      <c r="C57" s="2018"/>
      <c r="D57" s="2018"/>
      <c r="E57" s="2018"/>
      <c r="F57" s="585">
        <v>8900</v>
      </c>
      <c r="H57" s="585">
        <f>+ROUND(F57/1.27,0)</f>
        <v>7008</v>
      </c>
      <c r="I57" s="585">
        <f>+F57-H57</f>
        <v>1892</v>
      </c>
      <c r="J57" s="584" t="s">
        <v>981</v>
      </c>
    </row>
    <row r="58" spans="1:17">
      <c r="A58" s="592"/>
      <c r="F58" s="587"/>
      <c r="G58" s="725"/>
    </row>
    <row r="59" spans="1:17">
      <c r="A59" s="691" t="s">
        <v>833</v>
      </c>
      <c r="B59" s="643" t="s">
        <v>822</v>
      </c>
      <c r="C59" s="692"/>
      <c r="D59" s="692"/>
      <c r="E59" s="692"/>
      <c r="F59" s="1097">
        <f>+F65+F70</f>
        <v>43786</v>
      </c>
      <c r="G59" s="695"/>
      <c r="H59" s="755"/>
      <c r="I59" s="755"/>
      <c r="K59" s="588"/>
      <c r="L59" s="588"/>
      <c r="M59" s="588"/>
      <c r="N59" s="588"/>
      <c r="O59" s="588"/>
      <c r="P59" s="588"/>
      <c r="Q59" s="588"/>
    </row>
    <row r="60" spans="1:17" s="588" customFormat="1">
      <c r="A60" s="592"/>
      <c r="B60" s="2018" t="s">
        <v>1405</v>
      </c>
      <c r="C60" s="2018"/>
      <c r="D60" s="2018"/>
      <c r="E60" s="2018"/>
      <c r="F60" s="587"/>
      <c r="G60" s="725"/>
      <c r="H60" s="585"/>
      <c r="I60" s="585"/>
      <c r="J60" s="584"/>
      <c r="K60" s="584"/>
      <c r="L60" s="584"/>
      <c r="M60" s="584"/>
      <c r="N60" s="584" t="s">
        <v>1398</v>
      </c>
      <c r="O60" s="584"/>
      <c r="P60" s="584"/>
      <c r="Q60" s="584"/>
    </row>
    <row r="61" spans="1:17">
      <c r="A61" s="592"/>
      <c r="B61" s="2023" t="s">
        <v>1406</v>
      </c>
      <c r="C61" s="2023"/>
      <c r="D61" s="2023"/>
      <c r="E61" s="2023"/>
      <c r="F61" s="587"/>
      <c r="G61" s="725"/>
      <c r="N61" s="584" t="s">
        <v>1398</v>
      </c>
    </row>
    <row r="62" spans="1:17">
      <c r="A62" s="592"/>
      <c r="B62" s="2024" t="s">
        <v>1407</v>
      </c>
      <c r="C62" s="2024"/>
      <c r="D62" s="2024"/>
      <c r="E62" s="2024"/>
      <c r="F62" s="587"/>
      <c r="G62" s="725"/>
    </row>
    <row r="63" spans="1:17">
      <c r="A63" s="592"/>
      <c r="B63" s="2019" t="s">
        <v>1408</v>
      </c>
      <c r="C63" s="2019"/>
      <c r="D63" s="2019"/>
      <c r="E63" s="2019"/>
      <c r="F63" s="836"/>
      <c r="G63" s="726"/>
    </row>
    <row r="64" spans="1:17">
      <c r="A64" s="592"/>
      <c r="D64" s="850"/>
      <c r="E64" s="850"/>
      <c r="F64" s="587"/>
      <c r="G64" s="725"/>
    </row>
    <row r="65" spans="1:17">
      <c r="A65" s="592"/>
      <c r="B65" s="584" t="s">
        <v>1442</v>
      </c>
      <c r="D65" s="850"/>
      <c r="E65" s="850"/>
      <c r="F65" s="693">
        <f>+F66+F67+F68</f>
        <v>28786</v>
      </c>
      <c r="G65" s="726"/>
    </row>
    <row r="66" spans="1:17" s="839" customFormat="1" ht="12" customHeight="1">
      <c r="A66" s="838"/>
      <c r="D66" s="840"/>
      <c r="E66" s="840" t="s">
        <v>983</v>
      </c>
      <c r="F66" s="841">
        <f>14097+12132</f>
        <v>26229</v>
      </c>
      <c r="G66" s="842"/>
      <c r="H66" s="843">
        <f>+F66</f>
        <v>26229</v>
      </c>
      <c r="I66" s="843"/>
      <c r="J66" s="839" t="s">
        <v>1062</v>
      </c>
    </row>
    <row r="67" spans="1:17" s="839" customFormat="1" ht="12" customHeight="1">
      <c r="A67" s="838"/>
      <c r="D67" s="840"/>
      <c r="E67" s="840" t="s">
        <v>982</v>
      </c>
      <c r="F67" s="841">
        <f>1374+1183</f>
        <v>2557</v>
      </c>
      <c r="G67" s="842"/>
      <c r="H67" s="843">
        <f>+F67</f>
        <v>2557</v>
      </c>
      <c r="I67" s="843"/>
      <c r="J67" s="839" t="s">
        <v>1062</v>
      </c>
    </row>
    <row r="68" spans="1:17" s="839" customFormat="1" ht="12" customHeight="1">
      <c r="A68" s="838"/>
      <c r="D68" s="840"/>
      <c r="E68" s="840" t="s">
        <v>1055</v>
      </c>
      <c r="F68" s="841">
        <v>0</v>
      </c>
      <c r="G68" s="842"/>
      <c r="H68" s="843">
        <f>+ROUND(F68/1.27,0)</f>
        <v>0</v>
      </c>
      <c r="I68" s="843">
        <f>+F68-H68</f>
        <v>0</v>
      </c>
      <c r="J68" s="839" t="s">
        <v>1062</v>
      </c>
    </row>
    <row r="69" spans="1:17" ht="12" customHeight="1">
      <c r="A69" s="592"/>
      <c r="D69" s="850"/>
      <c r="E69" s="850"/>
      <c r="F69" s="587"/>
      <c r="G69" s="725"/>
    </row>
    <row r="70" spans="1:17" ht="12" customHeight="1">
      <c r="A70" s="592"/>
      <c r="B70" s="2018" t="s">
        <v>1443</v>
      </c>
      <c r="C70" s="2018"/>
      <c r="D70" s="2018"/>
      <c r="E70" s="2018"/>
      <c r="F70" s="837">
        <v>15000</v>
      </c>
      <c r="G70" s="725"/>
      <c r="H70" s="585">
        <f>+ROUND(F70/1.27,0)</f>
        <v>11811</v>
      </c>
      <c r="I70" s="585">
        <f>+F70-H70</f>
        <v>3189</v>
      </c>
      <c r="J70" s="584" t="s">
        <v>1062</v>
      </c>
    </row>
    <row r="71" spans="1:17" ht="12" customHeight="1">
      <c r="A71" s="592"/>
      <c r="B71" s="849"/>
      <c r="C71" s="849"/>
      <c r="D71" s="849"/>
      <c r="E71" s="849"/>
      <c r="F71" s="837"/>
      <c r="G71" s="725"/>
    </row>
    <row r="72" spans="1:17" ht="12.75" thickBot="1">
      <c r="A72" s="592"/>
      <c r="B72" s="850"/>
      <c r="C72" s="850"/>
      <c r="D72" s="850"/>
      <c r="E72" s="850"/>
      <c r="F72" s="587"/>
      <c r="G72" s="725"/>
    </row>
    <row r="73" spans="1:17" ht="12.75" thickBot="1">
      <c r="A73" s="591" t="s">
        <v>5</v>
      </c>
      <c r="B73" s="588" t="s">
        <v>48</v>
      </c>
      <c r="C73" s="588"/>
      <c r="D73" s="692"/>
      <c r="E73" s="692"/>
      <c r="F73" s="694">
        <f>+F75+F78+F80+F83+F86+F90+F95+F97</f>
        <v>28824</v>
      </c>
      <c r="G73" s="695"/>
      <c r="H73" s="755"/>
      <c r="I73" s="755"/>
      <c r="K73" s="588"/>
      <c r="L73" s="588"/>
      <c r="M73" s="588"/>
      <c r="N73" s="588"/>
      <c r="O73" s="588"/>
      <c r="P73" s="588"/>
      <c r="Q73" s="588"/>
    </row>
    <row r="74" spans="1:17">
      <c r="A74" s="592"/>
      <c r="B74" s="850"/>
      <c r="C74" s="850"/>
      <c r="D74" s="850"/>
      <c r="E74" s="850"/>
      <c r="F74" s="587"/>
      <c r="G74" s="725"/>
    </row>
    <row r="75" spans="1:17">
      <c r="A75" s="691" t="s">
        <v>54</v>
      </c>
      <c r="B75" s="643" t="s">
        <v>782</v>
      </c>
      <c r="C75" s="852"/>
      <c r="D75" s="852"/>
      <c r="E75" s="852"/>
      <c r="F75" s="642">
        <v>500</v>
      </c>
      <c r="G75" s="695"/>
      <c r="H75" s="585">
        <f>+F75</f>
        <v>500</v>
      </c>
      <c r="J75" s="584" t="s">
        <v>981</v>
      </c>
    </row>
    <row r="76" spans="1:17">
      <c r="A76" s="691"/>
      <c r="B76" s="2018" t="s">
        <v>1208</v>
      </c>
      <c r="C76" s="2018"/>
      <c r="D76" s="2018"/>
      <c r="E76" s="2018"/>
      <c r="F76" s="693"/>
      <c r="G76" s="695"/>
    </row>
    <row r="77" spans="1:17">
      <c r="A77" s="691"/>
      <c r="B77" s="849"/>
      <c r="C77" s="849"/>
      <c r="D77" s="849"/>
      <c r="E77" s="849"/>
      <c r="F77" s="693"/>
      <c r="G77" s="695"/>
    </row>
    <row r="78" spans="1:17">
      <c r="A78" s="691" t="s">
        <v>55</v>
      </c>
      <c r="B78" s="2020" t="s">
        <v>1409</v>
      </c>
      <c r="C78" s="2020"/>
      <c r="D78" s="2020"/>
      <c r="E78" s="2020"/>
      <c r="F78" s="642">
        <v>0</v>
      </c>
      <c r="G78" s="725"/>
      <c r="H78" s="585">
        <f>+F78</f>
        <v>0</v>
      </c>
      <c r="J78" s="584" t="s">
        <v>981</v>
      </c>
    </row>
    <row r="79" spans="1:17">
      <c r="A79" s="691"/>
      <c r="B79" s="849"/>
      <c r="C79" s="849"/>
      <c r="D79" s="849"/>
      <c r="E79" s="849"/>
      <c r="F79" s="587"/>
      <c r="G79" s="725"/>
    </row>
    <row r="80" spans="1:17">
      <c r="A80" s="691" t="s">
        <v>83</v>
      </c>
      <c r="B80" s="643" t="s">
        <v>1448</v>
      </c>
      <c r="C80" s="852"/>
      <c r="D80" s="852"/>
      <c r="E80" s="852"/>
      <c r="F80" s="642">
        <v>4500</v>
      </c>
      <c r="G80" s="695"/>
      <c r="H80" s="585">
        <f>+F80</f>
        <v>4500</v>
      </c>
      <c r="J80" s="584" t="s">
        <v>981</v>
      </c>
    </row>
    <row r="81" spans="1:12" ht="26.25" customHeight="1">
      <c r="A81" s="591"/>
      <c r="B81" s="2021" t="s">
        <v>1410</v>
      </c>
      <c r="C81" s="2021"/>
      <c r="D81" s="2021"/>
      <c r="E81" s="2021"/>
      <c r="F81" s="587"/>
      <c r="G81" s="725"/>
    </row>
    <row r="82" spans="1:12">
      <c r="A82" s="691"/>
      <c r="B82" s="852"/>
      <c r="C82" s="852"/>
      <c r="D82" s="852"/>
      <c r="E82" s="852"/>
      <c r="F82" s="587"/>
      <c r="G82" s="725"/>
    </row>
    <row r="83" spans="1:12">
      <c r="A83" s="691" t="s">
        <v>84</v>
      </c>
      <c r="B83" s="643" t="s">
        <v>1444</v>
      </c>
      <c r="C83" s="852"/>
      <c r="D83" s="852"/>
      <c r="E83" s="852"/>
      <c r="F83" s="642">
        <f>310-10</f>
        <v>300</v>
      </c>
      <c r="G83" s="695"/>
      <c r="H83" s="585">
        <f>+ROUND(F83/1.27,0)</f>
        <v>236</v>
      </c>
      <c r="I83" s="585">
        <f>+F83-H83</f>
        <v>64</v>
      </c>
      <c r="J83" s="584" t="s">
        <v>1069</v>
      </c>
      <c r="L83" s="584" t="s">
        <v>1070</v>
      </c>
    </row>
    <row r="84" spans="1:12">
      <c r="A84" s="591"/>
      <c r="B84" s="2022" t="s">
        <v>834</v>
      </c>
      <c r="C84" s="2022"/>
      <c r="D84" s="2022"/>
      <c r="E84" s="2022"/>
      <c r="F84" s="587"/>
      <c r="G84" s="725"/>
    </row>
    <row r="85" spans="1:12">
      <c r="A85" s="691"/>
      <c r="B85" s="852"/>
      <c r="C85" s="852"/>
      <c r="D85" s="852"/>
      <c r="E85" s="852"/>
      <c r="F85" s="587"/>
      <c r="G85" s="725"/>
    </row>
    <row r="86" spans="1:12">
      <c r="A86" s="691" t="s">
        <v>85</v>
      </c>
      <c r="B86" s="643" t="s">
        <v>1445</v>
      </c>
      <c r="C86" s="852"/>
      <c r="D86" s="852"/>
      <c r="E86" s="852"/>
      <c r="F86" s="642">
        <f>+F87+F88</f>
        <v>3874</v>
      </c>
      <c r="G86" s="695"/>
    </row>
    <row r="87" spans="1:12">
      <c r="A87" s="691"/>
      <c r="B87" s="845"/>
      <c r="C87" s="584" t="s">
        <v>1451</v>
      </c>
      <c r="D87" s="852"/>
      <c r="E87" s="852"/>
      <c r="F87" s="587">
        <f>3100-1550+837-418</f>
        <v>1969</v>
      </c>
      <c r="G87" s="725"/>
      <c r="H87" s="585">
        <f>+ROUND(F87/1.27,0)</f>
        <v>1550</v>
      </c>
      <c r="I87" s="585">
        <f>+F87-H87</f>
        <v>419</v>
      </c>
      <c r="J87" s="584" t="s">
        <v>1058</v>
      </c>
      <c r="L87" s="584" t="s">
        <v>1070</v>
      </c>
    </row>
    <row r="88" spans="1:12">
      <c r="A88" s="691"/>
      <c r="B88" s="852"/>
      <c r="C88" s="584" t="s">
        <v>1452</v>
      </c>
      <c r="D88" s="852"/>
      <c r="E88" s="852"/>
      <c r="F88" s="587">
        <f>ROUND((1500+1350-1350)*1.27,0)</f>
        <v>1905</v>
      </c>
      <c r="G88" s="725"/>
      <c r="H88" s="585">
        <f>+ROUND(F88/1.27,0)</f>
        <v>1500</v>
      </c>
      <c r="I88" s="585">
        <f>+F88-H88</f>
        <v>405</v>
      </c>
      <c r="J88" s="584" t="s">
        <v>1058</v>
      </c>
      <c r="L88" s="584" t="s">
        <v>1070</v>
      </c>
    </row>
    <row r="89" spans="1:12">
      <c r="A89" s="691"/>
      <c r="B89" s="852"/>
      <c r="C89" s="852"/>
      <c r="D89" s="852"/>
      <c r="E89" s="852"/>
      <c r="F89" s="587"/>
      <c r="G89" s="725"/>
    </row>
    <row r="90" spans="1:12">
      <c r="A90" s="691" t="s">
        <v>86</v>
      </c>
      <c r="B90" s="643" t="s">
        <v>1447</v>
      </c>
      <c r="C90" s="852"/>
      <c r="D90" s="852"/>
      <c r="E90" s="852"/>
      <c r="F90" s="642">
        <f>+F91+F92+F93</f>
        <v>18150</v>
      </c>
      <c r="G90" s="695"/>
    </row>
    <row r="91" spans="1:12">
      <c r="A91" s="691"/>
      <c r="B91" s="852"/>
      <c r="C91" s="584" t="s">
        <v>1453</v>
      </c>
      <c r="D91" s="852"/>
      <c r="E91" s="852"/>
      <c r="F91" s="587">
        <f>5000*1.27</f>
        <v>6350</v>
      </c>
      <c r="G91" s="725"/>
      <c r="H91" s="585">
        <f>+ROUND(F91/1.27,0)</f>
        <v>5000</v>
      </c>
      <c r="I91" s="585">
        <f>+F91-H91</f>
        <v>1350</v>
      </c>
      <c r="J91" s="584" t="s">
        <v>1069</v>
      </c>
      <c r="L91" s="584" t="s">
        <v>1070</v>
      </c>
    </row>
    <row r="92" spans="1:12">
      <c r="A92" s="691"/>
      <c r="B92" s="852"/>
      <c r="C92" s="584" t="s">
        <v>1411</v>
      </c>
      <c r="D92" s="852"/>
      <c r="E92" s="852"/>
      <c r="F92" s="587">
        <f>9000+300</f>
        <v>9300</v>
      </c>
      <c r="G92" s="725"/>
      <c r="H92" s="585">
        <f>+ROUND(F92/1.27,0)</f>
        <v>7323</v>
      </c>
      <c r="I92" s="585">
        <f>+F92-H92</f>
        <v>1977</v>
      </c>
      <c r="J92" s="584" t="s">
        <v>1069</v>
      </c>
      <c r="L92" s="584" t="s">
        <v>1070</v>
      </c>
    </row>
    <row r="93" spans="1:12">
      <c r="A93" s="691"/>
      <c r="B93" s="852"/>
      <c r="C93" s="584" t="s">
        <v>1454</v>
      </c>
      <c r="D93" s="852"/>
      <c r="E93" s="852"/>
      <c r="F93" s="587">
        <v>2500</v>
      </c>
      <c r="G93" s="725"/>
      <c r="H93" s="585">
        <f>+ROUND(F93/1.27,0)</f>
        <v>1969</v>
      </c>
      <c r="I93" s="585">
        <f>+F93-H93</f>
        <v>531</v>
      </c>
      <c r="J93" s="584" t="s">
        <v>1064</v>
      </c>
      <c r="L93" s="584" t="s">
        <v>1070</v>
      </c>
    </row>
    <row r="94" spans="1:12">
      <c r="A94" s="691"/>
      <c r="B94" s="852"/>
      <c r="C94" s="852"/>
      <c r="D94" s="852"/>
      <c r="E94" s="852"/>
      <c r="F94" s="587"/>
      <c r="G94" s="725"/>
    </row>
    <row r="95" spans="1:12">
      <c r="A95" s="691" t="s">
        <v>1081</v>
      </c>
      <c r="B95" s="643" t="s">
        <v>1412</v>
      </c>
      <c r="C95" s="852"/>
      <c r="D95" s="852"/>
      <c r="E95" s="852"/>
      <c r="F95" s="642">
        <v>0</v>
      </c>
      <c r="G95" s="695"/>
      <c r="H95" s="585">
        <f>+ROUND(F95/1.27,0)</f>
        <v>0</v>
      </c>
      <c r="I95" s="585">
        <f>+F95-H95</f>
        <v>0</v>
      </c>
      <c r="J95" s="584" t="s">
        <v>1069</v>
      </c>
    </row>
    <row r="96" spans="1:12">
      <c r="A96" s="691"/>
      <c r="B96" s="588"/>
      <c r="C96" s="852"/>
      <c r="D96" s="852"/>
      <c r="E96" s="852"/>
      <c r="F96" s="693"/>
      <c r="G96" s="695"/>
    </row>
    <row r="97" spans="1:12">
      <c r="A97" s="691" t="s">
        <v>1184</v>
      </c>
      <c r="B97" s="643" t="s">
        <v>1413</v>
      </c>
      <c r="C97" s="852"/>
      <c r="D97" s="852"/>
      <c r="E97" s="852"/>
      <c r="F97" s="642">
        <v>1500</v>
      </c>
      <c r="G97" s="695"/>
      <c r="H97" s="585">
        <f>+ROUND(F97/1.27,0)</f>
        <v>1181</v>
      </c>
      <c r="I97" s="585">
        <f>+F97-H97</f>
        <v>319</v>
      </c>
      <c r="J97" s="584" t="s">
        <v>1446</v>
      </c>
      <c r="L97" s="584" t="s">
        <v>1070</v>
      </c>
    </row>
    <row r="98" spans="1:12">
      <c r="A98" s="592"/>
      <c r="B98" s="852"/>
      <c r="D98" s="852"/>
      <c r="E98" s="852"/>
      <c r="F98" s="587"/>
      <c r="G98" s="725"/>
      <c r="H98" s="584"/>
      <c r="I98" s="584"/>
    </row>
    <row r="99" spans="1:12">
      <c r="A99" s="592"/>
      <c r="B99" s="852"/>
      <c r="D99" s="852"/>
      <c r="E99" s="852"/>
      <c r="F99" s="587"/>
      <c r="G99" s="725"/>
    </row>
    <row r="100" spans="1:12">
      <c r="A100" s="591" t="s">
        <v>6</v>
      </c>
      <c r="B100" s="588" t="s">
        <v>960</v>
      </c>
      <c r="C100" s="643"/>
      <c r="D100" s="852"/>
      <c r="E100" s="852"/>
      <c r="F100" s="644">
        <f>+F102+F104+F106+F108+F110+F112+F114+F116+F118+F120+F122+F124+F126+F128+F130+F132</f>
        <v>469666</v>
      </c>
      <c r="G100" s="836"/>
      <c r="H100" s="852"/>
    </row>
    <row r="101" spans="1:12">
      <c r="A101" s="591"/>
      <c r="B101" s="588"/>
      <c r="C101" s="643"/>
      <c r="D101" s="852"/>
      <c r="E101" s="852"/>
      <c r="F101" s="727"/>
      <c r="G101" s="836"/>
      <c r="H101" s="852"/>
    </row>
    <row r="102" spans="1:12" ht="26.25" customHeight="1">
      <c r="A102" s="592" t="s">
        <v>58</v>
      </c>
      <c r="B102" s="2018" t="s">
        <v>1449</v>
      </c>
      <c r="C102" s="2018"/>
      <c r="D102" s="2018"/>
      <c r="E102" s="2018"/>
      <c r="F102" s="1098">
        <v>1440</v>
      </c>
      <c r="G102" s="836"/>
      <c r="H102" s="585">
        <f>+ROUND(F102/1.27,0)</f>
        <v>1134</v>
      </c>
      <c r="I102" s="585">
        <f>+F102-H102</f>
        <v>306</v>
      </c>
      <c r="J102" s="584" t="s">
        <v>1063</v>
      </c>
      <c r="K102" s="584" t="s">
        <v>1071</v>
      </c>
    </row>
    <row r="103" spans="1:12">
      <c r="B103" s="2019"/>
      <c r="C103" s="2019"/>
      <c r="D103" s="2019"/>
      <c r="E103" s="2019"/>
      <c r="G103" s="585"/>
      <c r="H103" s="584"/>
    </row>
    <row r="104" spans="1:12" ht="36.75" customHeight="1">
      <c r="A104" s="593" t="s">
        <v>59</v>
      </c>
      <c r="B104" s="2018" t="s">
        <v>1469</v>
      </c>
      <c r="C104" s="2018"/>
      <c r="D104" s="2018"/>
      <c r="E104" s="2018"/>
      <c r="F104" s="1099">
        <f>+(2000+3000)+13205+3500+2200+2800+1000+15000</f>
        <v>42705</v>
      </c>
      <c r="G104" s="585"/>
      <c r="H104" s="585">
        <f>+F104</f>
        <v>42705</v>
      </c>
      <c r="J104" s="584" t="s">
        <v>981</v>
      </c>
      <c r="K104" s="584" t="s">
        <v>1071</v>
      </c>
    </row>
    <row r="105" spans="1:12">
      <c r="G105" s="585"/>
      <c r="H105" s="584"/>
    </row>
    <row r="106" spans="1:12">
      <c r="A106" s="593" t="s">
        <v>60</v>
      </c>
      <c r="B106" s="2018" t="s">
        <v>1414</v>
      </c>
      <c r="C106" s="2018"/>
      <c r="D106" s="2018"/>
      <c r="E106" s="2018"/>
      <c r="F106" s="1099">
        <v>6000</v>
      </c>
      <c r="G106" s="585"/>
      <c r="H106" s="585">
        <f>+ROUND(F106/1.27,0)</f>
        <v>4724</v>
      </c>
      <c r="I106" s="585">
        <f>+F106-H106</f>
        <v>1276</v>
      </c>
      <c r="J106" s="584" t="s">
        <v>1063</v>
      </c>
      <c r="K106" s="584" t="s">
        <v>1072</v>
      </c>
    </row>
    <row r="107" spans="1:12">
      <c r="G107" s="585"/>
      <c r="H107" s="584"/>
    </row>
    <row r="108" spans="1:12">
      <c r="A108" s="593" t="s">
        <v>180</v>
      </c>
      <c r="B108" s="2018" t="s">
        <v>1415</v>
      </c>
      <c r="C108" s="2018"/>
      <c r="D108" s="2018"/>
      <c r="E108" s="2018"/>
      <c r="F108" s="1100">
        <f>6500-6500</f>
        <v>0</v>
      </c>
      <c r="G108" s="585"/>
      <c r="H108" s="585">
        <f>+ROUND(F108/1.27,0)</f>
        <v>0</v>
      </c>
      <c r="I108" s="585">
        <f>+F108-H108</f>
        <v>0</v>
      </c>
      <c r="J108" s="584" t="s">
        <v>1060</v>
      </c>
      <c r="K108" s="584" t="s">
        <v>1071</v>
      </c>
    </row>
    <row r="109" spans="1:12">
      <c r="G109" s="585"/>
      <c r="H109" s="584"/>
    </row>
    <row r="110" spans="1:12" ht="27" customHeight="1">
      <c r="A110" s="593" t="s">
        <v>181</v>
      </c>
      <c r="B110" s="2018" t="s">
        <v>1551</v>
      </c>
      <c r="C110" s="2018"/>
      <c r="D110" s="2018"/>
      <c r="E110" s="2018"/>
      <c r="F110" s="1099">
        <v>29999</v>
      </c>
      <c r="G110" s="585"/>
      <c r="H110" s="585">
        <f>+ROUND(F110/1.27,0)</f>
        <v>23621</v>
      </c>
      <c r="I110" s="585">
        <f>+F110-H110</f>
        <v>6378</v>
      </c>
      <c r="J110" s="584" t="s">
        <v>981</v>
      </c>
      <c r="K110" s="584" t="s">
        <v>1071</v>
      </c>
    </row>
    <row r="111" spans="1:12">
      <c r="G111" s="585"/>
      <c r="H111" s="584"/>
    </row>
    <row r="112" spans="1:12">
      <c r="A112" s="593" t="s">
        <v>784</v>
      </c>
      <c r="B112" s="2018" t="s">
        <v>1416</v>
      </c>
      <c r="C112" s="2018"/>
      <c r="D112" s="2018"/>
      <c r="E112" s="2018"/>
      <c r="F112" s="1099">
        <v>8543</v>
      </c>
      <c r="G112" s="585"/>
      <c r="H112" s="585">
        <f>+ROUND(F112/1.27,0)</f>
        <v>6727</v>
      </c>
      <c r="I112" s="585">
        <f>+F112-H112</f>
        <v>1816</v>
      </c>
      <c r="J112" s="584" t="s">
        <v>827</v>
      </c>
      <c r="K112" s="584" t="s">
        <v>1071</v>
      </c>
    </row>
    <row r="113" spans="1:11">
      <c r="G113" s="585"/>
      <c r="H113" s="584"/>
    </row>
    <row r="114" spans="1:11">
      <c r="A114" s="593" t="s">
        <v>954</v>
      </c>
      <c r="B114" s="2018" t="s">
        <v>1417</v>
      </c>
      <c r="C114" s="2018"/>
      <c r="D114" s="2018"/>
      <c r="E114" s="2018"/>
      <c r="F114" s="1099">
        <v>6672</v>
      </c>
      <c r="G114" s="585"/>
      <c r="H114" s="585">
        <f>+ROUND(F114/1.27,0)</f>
        <v>5254</v>
      </c>
      <c r="I114" s="585">
        <f>+F114-H114</f>
        <v>1418</v>
      </c>
      <c r="J114" s="584" t="s">
        <v>1455</v>
      </c>
      <c r="K114" s="584" t="s">
        <v>1079</v>
      </c>
    </row>
    <row r="115" spans="1:11">
      <c r="G115" s="585"/>
      <c r="H115" s="584"/>
    </row>
    <row r="116" spans="1:11">
      <c r="A116" s="593" t="s">
        <v>955</v>
      </c>
      <c r="B116" s="2018" t="s">
        <v>1418</v>
      </c>
      <c r="C116" s="2018"/>
      <c r="D116" s="2018"/>
      <c r="E116" s="2018"/>
      <c r="F116" s="1099">
        <v>4000</v>
      </c>
      <c r="G116" s="585"/>
      <c r="H116" s="585">
        <f>+ROUND(F116/1.27,0)</f>
        <v>3150</v>
      </c>
      <c r="I116" s="585">
        <f>+F116-H116</f>
        <v>850</v>
      </c>
      <c r="J116" s="584" t="s">
        <v>981</v>
      </c>
      <c r="K116" s="584" t="s">
        <v>1071</v>
      </c>
    </row>
    <row r="117" spans="1:11">
      <c r="G117" s="585"/>
      <c r="H117" s="584"/>
    </row>
    <row r="118" spans="1:11">
      <c r="A118" s="593" t="s">
        <v>956</v>
      </c>
      <c r="B118" s="2018" t="s">
        <v>1419</v>
      </c>
      <c r="C118" s="2018"/>
      <c r="D118" s="2018"/>
      <c r="E118" s="2018"/>
      <c r="F118" s="1099">
        <v>6000</v>
      </c>
      <c r="G118" s="585"/>
      <c r="H118" s="585">
        <f>+ROUND(F118/1.27,0)</f>
        <v>4724</v>
      </c>
      <c r="I118" s="585">
        <f>+F118-H118</f>
        <v>1276</v>
      </c>
      <c r="J118" s="584" t="s">
        <v>981</v>
      </c>
      <c r="K118" s="584" t="s">
        <v>1079</v>
      </c>
    </row>
    <row r="119" spans="1:11">
      <c r="F119" s="844"/>
      <c r="G119" s="585"/>
      <c r="H119" s="584"/>
    </row>
    <row r="120" spans="1:11">
      <c r="A120" s="593" t="s">
        <v>957</v>
      </c>
      <c r="B120" s="2018" t="s">
        <v>1420</v>
      </c>
      <c r="C120" s="2018"/>
      <c r="D120" s="2018"/>
      <c r="E120" s="2018"/>
      <c r="F120" s="1100">
        <f>500+1300+1500-2000</f>
        <v>1300</v>
      </c>
      <c r="G120" s="585"/>
      <c r="H120" s="585">
        <f>+ROUND(F120/1.27,0)+1</f>
        <v>1025</v>
      </c>
      <c r="I120" s="585">
        <f>+F120-H120</f>
        <v>275</v>
      </c>
      <c r="J120" s="584" t="s">
        <v>1421</v>
      </c>
      <c r="K120" s="584" t="s">
        <v>1079</v>
      </c>
    </row>
    <row r="121" spans="1:11">
      <c r="G121" s="585"/>
    </row>
    <row r="122" spans="1:11">
      <c r="A122" s="593" t="s">
        <v>958</v>
      </c>
      <c r="B122" s="2018" t="s">
        <v>1422</v>
      </c>
      <c r="C122" s="2018"/>
      <c r="D122" s="2018"/>
      <c r="E122" s="2018"/>
      <c r="F122" s="1100">
        <f>6000-6000</f>
        <v>0</v>
      </c>
      <c r="G122" s="585"/>
      <c r="H122" s="585">
        <f>+ROUND(F122/1.27,0)</f>
        <v>0</v>
      </c>
      <c r="I122" s="585">
        <f>+F122-H122</f>
        <v>0</v>
      </c>
      <c r="J122" s="584" t="s">
        <v>981</v>
      </c>
      <c r="K122" s="584" t="s">
        <v>1079</v>
      </c>
    </row>
    <row r="124" spans="1:11">
      <c r="A124" s="593" t="s">
        <v>959</v>
      </c>
      <c r="B124" s="2018" t="s">
        <v>1423</v>
      </c>
      <c r="C124" s="2018"/>
      <c r="D124" s="2018"/>
      <c r="E124" s="2018"/>
      <c r="F124" s="1099">
        <v>500</v>
      </c>
      <c r="H124" s="585">
        <f>+ROUND(F124/1.27,0)</f>
        <v>394</v>
      </c>
      <c r="I124" s="585">
        <f>+F124-H124</f>
        <v>106</v>
      </c>
      <c r="J124" s="584" t="s">
        <v>1056</v>
      </c>
      <c r="K124" s="584" t="s">
        <v>1079</v>
      </c>
    </row>
    <row r="126" spans="1:11">
      <c r="A126" s="593" t="s">
        <v>1078</v>
      </c>
      <c r="B126" s="2018" t="s">
        <v>1424</v>
      </c>
      <c r="C126" s="2018"/>
      <c r="D126" s="2018"/>
      <c r="E126" s="2018"/>
      <c r="F126" s="1100">
        <f>9000-9000</f>
        <v>0</v>
      </c>
      <c r="H126" s="585">
        <f>+ROUND(F126/1.27,0)</f>
        <v>0</v>
      </c>
      <c r="I126" s="585">
        <f>+F126-H126</f>
        <v>0</v>
      </c>
      <c r="J126" s="584" t="s">
        <v>981</v>
      </c>
      <c r="K126" s="584" t="s">
        <v>1079</v>
      </c>
    </row>
    <row r="128" spans="1:11">
      <c r="A128" s="593" t="s">
        <v>1080</v>
      </c>
      <c r="B128" s="2018" t="s">
        <v>1425</v>
      </c>
      <c r="C128" s="2018"/>
      <c r="D128" s="2018"/>
      <c r="E128" s="2018"/>
      <c r="F128" s="1099">
        <f>9996-165</f>
        <v>9831</v>
      </c>
      <c r="H128" s="585">
        <f>+ROUND(F128/1.27,0)</f>
        <v>7741</v>
      </c>
      <c r="I128" s="585">
        <f>+F128-H128</f>
        <v>2090</v>
      </c>
      <c r="J128" s="584" t="s">
        <v>981</v>
      </c>
      <c r="K128" s="584" t="s">
        <v>1079</v>
      </c>
    </row>
    <row r="130" spans="1:11">
      <c r="A130" s="593" t="s">
        <v>1471</v>
      </c>
      <c r="B130" s="2018" t="s">
        <v>1472</v>
      </c>
      <c r="C130" s="2018"/>
      <c r="D130" s="2018"/>
      <c r="E130" s="2018"/>
      <c r="F130" s="1099">
        <v>2676</v>
      </c>
      <c r="H130" s="585">
        <f>+ROUND(F130/1.27,0)</f>
        <v>2107</v>
      </c>
      <c r="I130" s="585">
        <f>+F130-H130</f>
        <v>569</v>
      </c>
      <c r="J130" s="584" t="s">
        <v>981</v>
      </c>
      <c r="K130" s="584" t="s">
        <v>1470</v>
      </c>
    </row>
    <row r="132" spans="1:11">
      <c r="A132" s="593" t="s">
        <v>1552</v>
      </c>
      <c r="B132" s="2018" t="s">
        <v>1487</v>
      </c>
      <c r="C132" s="2018"/>
      <c r="D132" s="2018"/>
      <c r="E132" s="2018"/>
      <c r="F132" s="1099">
        <v>350000</v>
      </c>
      <c r="G132" s="585"/>
      <c r="H132" s="585">
        <f>+ROUND(F132/1,0)</f>
        <v>350000</v>
      </c>
      <c r="I132" s="585">
        <f>+F132-H132</f>
        <v>0</v>
      </c>
      <c r="J132" s="584" t="s">
        <v>1486</v>
      </c>
      <c r="K132" s="584" t="s">
        <v>1079</v>
      </c>
    </row>
    <row r="133" spans="1:11">
      <c r="F133" s="584"/>
      <c r="G133" s="585"/>
    </row>
    <row r="134" spans="1:11">
      <c r="B134" s="2018"/>
      <c r="C134" s="2018"/>
      <c r="D134" s="2018"/>
      <c r="E134" s="2018"/>
      <c r="G134" s="585"/>
    </row>
  </sheetData>
  <mergeCells count="54">
    <mergeCell ref="B110:E110"/>
    <mergeCell ref="B44:E44"/>
    <mergeCell ref="A3:F3"/>
    <mergeCell ref="B27:E27"/>
    <mergeCell ref="B8:E8"/>
    <mergeCell ref="B12:E12"/>
    <mergeCell ref="B10:E10"/>
    <mergeCell ref="B32:E32"/>
    <mergeCell ref="B38:E38"/>
    <mergeCell ref="B24:E24"/>
    <mergeCell ref="B108:E108"/>
    <mergeCell ref="B104:E104"/>
    <mergeCell ref="B106:E106"/>
    <mergeCell ref="B102:E102"/>
    <mergeCell ref="B29:E29"/>
    <mergeCell ref="B30:E30"/>
    <mergeCell ref="B35:E35"/>
    <mergeCell ref="B57:E57"/>
    <mergeCell ref="B40:E40"/>
    <mergeCell ref="B63:E63"/>
    <mergeCell ref="B49:E49"/>
    <mergeCell ref="B39:E39"/>
    <mergeCell ref="B41:E41"/>
    <mergeCell ref="B42:E42"/>
    <mergeCell ref="B43:E43"/>
    <mergeCell ref="B47:E47"/>
    <mergeCell ref="B14:E14"/>
    <mergeCell ref="B16:E16"/>
    <mergeCell ref="B18:E18"/>
    <mergeCell ref="B20:E20"/>
    <mergeCell ref="B22:E22"/>
    <mergeCell ref="B81:E81"/>
    <mergeCell ref="B84:E84"/>
    <mergeCell ref="B53:E53"/>
    <mergeCell ref="B55:E55"/>
    <mergeCell ref="B60:E60"/>
    <mergeCell ref="B61:E61"/>
    <mergeCell ref="B62:E62"/>
    <mergeCell ref="B128:E128"/>
    <mergeCell ref="B130:E130"/>
    <mergeCell ref="B132:E132"/>
    <mergeCell ref="B134:E134"/>
    <mergeCell ref="B70:E70"/>
    <mergeCell ref="B120:E120"/>
    <mergeCell ref="B122:E122"/>
    <mergeCell ref="B124:E124"/>
    <mergeCell ref="B126:E126"/>
    <mergeCell ref="B103:E103"/>
    <mergeCell ref="B112:E112"/>
    <mergeCell ref="B114:E114"/>
    <mergeCell ref="B116:E116"/>
    <mergeCell ref="B118:E118"/>
    <mergeCell ref="B76:E76"/>
    <mergeCell ref="B78:E7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78" fitToHeight="4" orientation="portrait" horizontalDpi="300" verticalDpi="300" r:id="rId1"/>
  <headerFooter>
    <oddHeader>&amp;C 1. függelék - &amp;P. oldal</oddHeader>
  </headerFooter>
  <rowBreaks count="1" manualBreakCount="1">
    <brk id="72" max="5" man="1"/>
  </rowBreaks>
</worksheet>
</file>

<file path=xl/worksheets/sheet38.xml><?xml version="1.0" encoding="utf-8"?>
<worksheet xmlns="http://schemas.openxmlformats.org/spreadsheetml/2006/main" xmlns:r="http://schemas.openxmlformats.org/officeDocument/2006/relationships">
  <sheetPr codeName="Munka31">
    <tabColor rgb="FF00B0F0"/>
    <pageSetUpPr fitToPage="1"/>
  </sheetPr>
  <dimension ref="A1:F41"/>
  <sheetViews>
    <sheetView zoomScaleNormal="100" workbookViewId="0"/>
  </sheetViews>
  <sheetFormatPr defaultColWidth="10.28515625" defaultRowHeight="12"/>
  <cols>
    <col min="1" max="1" width="4.7109375" style="143" bestFit="1" customWidth="1"/>
    <col min="2" max="2" width="74.42578125" style="143" customWidth="1"/>
    <col min="3" max="3" width="9" style="143" customWidth="1"/>
    <col min="4" max="6" width="8.28515625" style="143" customWidth="1"/>
    <col min="7" max="16384" width="10.28515625" style="143"/>
  </cols>
  <sheetData>
    <row r="1" spans="1:6" s="142" customFormat="1" ht="15.75">
      <c r="F1" s="153" t="s">
        <v>819</v>
      </c>
    </row>
    <row r="2" spans="1:6" s="142" customFormat="1" ht="15.75">
      <c r="F2" s="153"/>
    </row>
    <row r="3" spans="1:6" s="627" customFormat="1" ht="32.25" customHeight="1">
      <c r="A3" s="2031" t="s">
        <v>1333</v>
      </c>
      <c r="B3" s="2031"/>
      <c r="C3" s="2031"/>
      <c r="D3" s="2031"/>
      <c r="E3" s="2031"/>
      <c r="F3" s="2031"/>
    </row>
    <row r="4" spans="1:6" s="161" customFormat="1">
      <c r="A4" s="624"/>
      <c r="B4" s="624"/>
      <c r="C4" s="624"/>
      <c r="D4" s="624"/>
      <c r="E4" s="624"/>
      <c r="F4" s="624"/>
    </row>
    <row r="5" spans="1:6" ht="12.75" thickBot="1">
      <c r="F5" s="203" t="s">
        <v>458</v>
      </c>
    </row>
    <row r="6" spans="1:6">
      <c r="A6" s="2032" t="s">
        <v>17</v>
      </c>
      <c r="B6" s="2034" t="s">
        <v>7</v>
      </c>
      <c r="C6" s="2036" t="s">
        <v>818</v>
      </c>
      <c r="D6" s="2037"/>
      <c r="E6" s="2037"/>
      <c r="F6" s="2038"/>
    </row>
    <row r="7" spans="1:6" s="625" customFormat="1" ht="12.75" thickBot="1">
      <c r="A7" s="2033"/>
      <c r="B7" s="2035"/>
      <c r="C7" s="824" t="s">
        <v>460</v>
      </c>
      <c r="D7" s="607" t="s">
        <v>461</v>
      </c>
      <c r="E7" s="607" t="s">
        <v>462</v>
      </c>
      <c r="F7" s="608" t="s">
        <v>463</v>
      </c>
    </row>
    <row r="8" spans="1:6" s="625" customFormat="1" ht="12.75" thickBot="1">
      <c r="A8" s="201">
        <v>1</v>
      </c>
      <c r="B8" s="200">
        <v>2</v>
      </c>
      <c r="C8" s="201">
        <v>3</v>
      </c>
      <c r="D8" s="204">
        <v>4</v>
      </c>
      <c r="E8" s="204">
        <v>5</v>
      </c>
      <c r="F8" s="200">
        <v>6</v>
      </c>
    </row>
    <row r="9" spans="1:6" s="625" customFormat="1">
      <c r="A9" s="609" t="s">
        <v>4</v>
      </c>
      <c r="B9" s="206" t="s">
        <v>971</v>
      </c>
      <c r="C9" s="610">
        <f>+'5.mell_adósság2019'!F8</f>
        <v>0.72362559572474028</v>
      </c>
      <c r="D9" s="207">
        <f>+'5.mell_adósság2019'!G8</f>
        <v>356831</v>
      </c>
      <c r="E9" s="207">
        <f>+'5.mell_adósság2019'!H8</f>
        <v>371461</v>
      </c>
      <c r="F9" s="611">
        <f>+'5.mell_adósság2019'!I8</f>
        <v>385948</v>
      </c>
    </row>
    <row r="10" spans="1:6" s="625" customFormat="1" ht="24">
      <c r="A10" s="612" t="s">
        <v>5</v>
      </c>
      <c r="B10" s="209" t="s">
        <v>845</v>
      </c>
      <c r="C10" s="610">
        <f>+'5.mell_adósság2019'!F9</f>
        <v>1</v>
      </c>
      <c r="D10" s="207">
        <f>+'5.mell_adósság2019'!G9</f>
        <v>236</v>
      </c>
      <c r="E10" s="207">
        <f>+'5.mell_adósság2019'!H9</f>
        <v>236</v>
      </c>
      <c r="F10" s="611">
        <f>+'5.mell_adósság2019'!I9</f>
        <v>236</v>
      </c>
    </row>
    <row r="11" spans="1:6" s="625" customFormat="1">
      <c r="A11" s="612" t="s">
        <v>6</v>
      </c>
      <c r="B11" s="209" t="s">
        <v>846</v>
      </c>
      <c r="C11" s="610" t="str">
        <f>+'5.mell_adósság2019'!F10</f>
        <v>-</v>
      </c>
      <c r="D11" s="207">
        <f>+'5.mell_adósság2019'!G10</f>
        <v>0</v>
      </c>
      <c r="E11" s="207">
        <f>+'5.mell_adósság2019'!H10</f>
        <v>0</v>
      </c>
      <c r="F11" s="611">
        <f>+'5.mell_adósság2019'!I10</f>
        <v>0</v>
      </c>
    </row>
    <row r="12" spans="1:6" s="625" customFormat="1" ht="24">
      <c r="A12" s="612" t="s">
        <v>3</v>
      </c>
      <c r="B12" s="209" t="s">
        <v>847</v>
      </c>
      <c r="C12" s="610">
        <f>+'5.mell_adósság2019'!F11</f>
        <v>0.82451824518245187</v>
      </c>
      <c r="D12" s="207">
        <f>+'5.mell_adósság2019'!G11</f>
        <v>350</v>
      </c>
      <c r="E12" s="207">
        <f>+'5.mell_adósság2019'!H11</f>
        <v>350</v>
      </c>
      <c r="F12" s="611">
        <f>+'5.mell_adósság2019'!I11</f>
        <v>350</v>
      </c>
    </row>
    <row r="13" spans="1:6" s="625" customFormat="1" ht="12.75">
      <c r="A13" s="612" t="s">
        <v>16</v>
      </c>
      <c r="B13" s="606" t="s">
        <v>848</v>
      </c>
      <c r="C13" s="610">
        <f>+'5.mell_adósság2019'!F12</f>
        <v>0.34712876762835282</v>
      </c>
      <c r="D13" s="207">
        <f>+'5.mell_adósság2019'!G12</f>
        <v>7800</v>
      </c>
      <c r="E13" s="207">
        <f>+'5.mell_adósság2019'!H12</f>
        <v>7800</v>
      </c>
      <c r="F13" s="611">
        <f>+'5.mell_adósság2019'!I12</f>
        <v>7800</v>
      </c>
    </row>
    <row r="14" spans="1:6" s="625" customFormat="1" ht="12.75" thickBot="1">
      <c r="A14" s="612" t="s">
        <v>15</v>
      </c>
      <c r="B14" s="212" t="s">
        <v>972</v>
      </c>
      <c r="C14" s="610" t="str">
        <f>+'5.mell_adósság2019'!F13</f>
        <v>-</v>
      </c>
      <c r="D14" s="207">
        <f>+'5.mell_adósság2019'!G13</f>
        <v>0</v>
      </c>
      <c r="E14" s="207">
        <f>+'5.mell_adósság2019'!H13</f>
        <v>0</v>
      </c>
      <c r="F14" s="611">
        <f>+'5.mell_adósság2019'!I13</f>
        <v>0</v>
      </c>
    </row>
    <row r="15" spans="1:6" s="626" customFormat="1" ht="12.75" thickBot="1">
      <c r="A15" s="613" t="s">
        <v>14</v>
      </c>
      <c r="B15" s="215" t="s">
        <v>852</v>
      </c>
      <c r="C15" s="614" t="e">
        <f>+C9+C10+C11+C12+C13+C14</f>
        <v>#VALUE!</v>
      </c>
      <c r="D15" s="217">
        <f t="shared" ref="D15:F15" si="0">+D9+D10+D11+D12+D13+D14</f>
        <v>365217</v>
      </c>
      <c r="E15" s="217">
        <f t="shared" si="0"/>
        <v>379847</v>
      </c>
      <c r="F15" s="615">
        <f t="shared" si="0"/>
        <v>394334</v>
      </c>
    </row>
    <row r="16" spans="1:6" s="626" customFormat="1" ht="12.75" thickBot="1">
      <c r="A16" s="613" t="s">
        <v>13</v>
      </c>
      <c r="B16" s="215" t="s">
        <v>851</v>
      </c>
      <c r="C16" s="614" t="e">
        <f>+ROUNDDOWN(C15*0.5,0)</f>
        <v>#VALUE!</v>
      </c>
      <c r="D16" s="217">
        <f t="shared" ref="D16:F16" si="1">+ROUNDDOWN(D15*0.5,0)</f>
        <v>182608</v>
      </c>
      <c r="E16" s="217">
        <f t="shared" si="1"/>
        <v>189923</v>
      </c>
      <c r="F16" s="615">
        <f t="shared" si="1"/>
        <v>197167</v>
      </c>
    </row>
    <row r="17" spans="1:6" s="626" customFormat="1" ht="12.75" thickBot="1">
      <c r="A17" s="613" t="s">
        <v>12</v>
      </c>
      <c r="B17" s="215" t="s">
        <v>860</v>
      </c>
      <c r="C17" s="614" t="e">
        <f>+C18+C19+C20+C21+C22+C23+C24+C25+C26</f>
        <v>#VALUE!</v>
      </c>
      <c r="D17" s="217">
        <f t="shared" ref="D17:F17" si="2">+D18+D19+D20+D21+D22+D23+D24+D25+D26</f>
        <v>28307</v>
      </c>
      <c r="E17" s="217">
        <f t="shared" si="2"/>
        <v>28308</v>
      </c>
      <c r="F17" s="615">
        <f t="shared" si="2"/>
        <v>2000</v>
      </c>
    </row>
    <row r="18" spans="1:6" s="625" customFormat="1">
      <c r="A18" s="609" t="s">
        <v>11</v>
      </c>
      <c r="B18" s="206" t="s">
        <v>467</v>
      </c>
      <c r="C18" s="616" t="str">
        <f>+'5.mell_adósság2019'!F17</f>
        <v>-</v>
      </c>
      <c r="D18" s="210">
        <f>+'5.mell_adósság2019'!G17</f>
        <v>0</v>
      </c>
      <c r="E18" s="210">
        <f>+'5.mell_adósság2019'!H17</f>
        <v>0</v>
      </c>
      <c r="F18" s="617">
        <f>+'5.mell_adósság2019'!I17</f>
        <v>0</v>
      </c>
    </row>
    <row r="19" spans="1:6" s="625" customFormat="1">
      <c r="A19" s="612" t="s">
        <v>10</v>
      </c>
      <c r="B19" s="209" t="s">
        <v>468</v>
      </c>
      <c r="C19" s="616" t="str">
        <f>+'5.mell_adósság2019'!F18</f>
        <v>-</v>
      </c>
      <c r="D19" s="210">
        <f>+'5.mell_adósság2019'!G18</f>
        <v>0</v>
      </c>
      <c r="E19" s="210">
        <f>+'5.mell_adósság2019'!H18</f>
        <v>0</v>
      </c>
      <c r="F19" s="617">
        <f>+'5.mell_adósság2019'!I18</f>
        <v>0</v>
      </c>
    </row>
    <row r="20" spans="1:6" s="625" customFormat="1">
      <c r="A20" s="612" t="s">
        <v>9</v>
      </c>
      <c r="B20" s="209" t="s">
        <v>469</v>
      </c>
      <c r="C20" s="616" t="str">
        <f>+'5.mell_adósság2019'!F19</f>
        <v>-</v>
      </c>
      <c r="D20" s="210">
        <f>+'5.mell_adósság2019'!G19</f>
        <v>0</v>
      </c>
      <c r="E20" s="210">
        <f>+'5.mell_adósság2019'!H19</f>
        <v>0</v>
      </c>
      <c r="F20" s="617">
        <f>+'5.mell_adósság2019'!I19</f>
        <v>0</v>
      </c>
    </row>
    <row r="21" spans="1:6" s="625" customFormat="1">
      <c r="A21" s="612" t="s">
        <v>45</v>
      </c>
      <c r="B21" s="209" t="s">
        <v>470</v>
      </c>
      <c r="C21" s="616" t="str">
        <f>+'5.mell_adósság2019'!F20</f>
        <v>-</v>
      </c>
      <c r="D21" s="210">
        <f>+'5.mell_adósság2019'!G20</f>
        <v>0</v>
      </c>
      <c r="E21" s="210">
        <f>+'5.mell_adósság2019'!H20</f>
        <v>0</v>
      </c>
      <c r="F21" s="617">
        <f>+'5.mell_adósság2019'!I20</f>
        <v>0</v>
      </c>
    </row>
    <row r="22" spans="1:6" s="625" customFormat="1">
      <c r="A22" s="612" t="s">
        <v>44</v>
      </c>
      <c r="B22" s="209" t="s">
        <v>471</v>
      </c>
      <c r="C22" s="616" t="str">
        <f>+'5.mell_adósság2019'!F21</f>
        <v>-</v>
      </c>
      <c r="D22" s="210">
        <f>+'5.mell_adósság2019'!G21</f>
        <v>0</v>
      </c>
      <c r="E22" s="210">
        <f>+'5.mell_adósság2019'!H21</f>
        <v>0</v>
      </c>
      <c r="F22" s="617">
        <f>+'5.mell_adósság2019'!I21</f>
        <v>0</v>
      </c>
    </row>
    <row r="23" spans="1:6" s="625" customFormat="1" ht="24">
      <c r="A23" s="612" t="s">
        <v>43</v>
      </c>
      <c r="B23" s="209" t="s">
        <v>854</v>
      </c>
      <c r="C23" s="616" t="str">
        <f>+'5.mell_adósság2019'!F22</f>
        <v>-</v>
      </c>
      <c r="D23" s="210">
        <f>+'5.mell_adósság2019'!G22</f>
        <v>0</v>
      </c>
      <c r="E23" s="210">
        <f>+'5.mell_adósság2019'!H22</f>
        <v>0</v>
      </c>
      <c r="F23" s="617">
        <f>+'5.mell_adósság2019'!I22</f>
        <v>0</v>
      </c>
    </row>
    <row r="24" spans="1:6" s="625" customFormat="1">
      <c r="A24" s="612" t="s">
        <v>40</v>
      </c>
      <c r="B24" s="209" t="s">
        <v>853</v>
      </c>
      <c r="C24" s="616">
        <f>+'5.mell_adósság2019'!F23</f>
        <v>0.11068068622025456</v>
      </c>
      <c r="D24" s="210">
        <f>+'5.mell_adósság2019'!G23</f>
        <v>28307</v>
      </c>
      <c r="E24" s="210">
        <f>+'5.mell_adósság2019'!H23</f>
        <v>28308</v>
      </c>
      <c r="F24" s="617">
        <f>+'5.mell_adósság2019'!I23</f>
        <v>2000</v>
      </c>
    </row>
    <row r="25" spans="1:6" s="625" customFormat="1" ht="24">
      <c r="A25" s="612" t="s">
        <v>39</v>
      </c>
      <c r="B25" s="219" t="s">
        <v>855</v>
      </c>
      <c r="C25" s="616" t="str">
        <f>+'5.mell_adósság2019'!F24</f>
        <v>-</v>
      </c>
      <c r="D25" s="210">
        <f>+'5.mell_adósság2019'!G24</f>
        <v>0</v>
      </c>
      <c r="E25" s="210">
        <f>+'5.mell_adósság2019'!H24</f>
        <v>0</v>
      </c>
      <c r="F25" s="617">
        <f>+'5.mell_adósság2019'!I24</f>
        <v>0</v>
      </c>
    </row>
    <row r="26" spans="1:6" s="625" customFormat="1" ht="12.75" thickBot="1">
      <c r="A26" s="618" t="s">
        <v>38</v>
      </c>
      <c r="B26" s="219" t="s">
        <v>973</v>
      </c>
      <c r="C26" s="616" t="str">
        <f>+'5.mell_adósság2019'!F25</f>
        <v>-</v>
      </c>
      <c r="D26" s="210">
        <f>+'5.mell_adósság2019'!G25</f>
        <v>0</v>
      </c>
      <c r="E26" s="210">
        <f>+'5.mell_adósság2019'!H25</f>
        <v>0</v>
      </c>
      <c r="F26" s="617">
        <f>+'5.mell_adósság2019'!I25</f>
        <v>0</v>
      </c>
    </row>
    <row r="27" spans="1:6" s="626" customFormat="1" ht="15" customHeight="1" thickBot="1">
      <c r="A27" s="613" t="s">
        <v>36</v>
      </c>
      <c r="B27" s="215" t="s">
        <v>861</v>
      </c>
      <c r="C27" s="614" t="e">
        <f>+C28+C29+C30+C31+C32+C33+C34+C35+C36</f>
        <v>#VALUE!</v>
      </c>
      <c r="D27" s="217">
        <f t="shared" ref="D27:F27" si="3">+D28+D29+D30+D31+D32+D33+D34+D35+D36</f>
        <v>9999</v>
      </c>
      <c r="E27" s="217">
        <f t="shared" si="3"/>
        <v>0</v>
      </c>
      <c r="F27" s="615">
        <f t="shared" si="3"/>
        <v>0</v>
      </c>
    </row>
    <row r="28" spans="1:6" s="625" customFormat="1">
      <c r="A28" s="609" t="s">
        <v>35</v>
      </c>
      <c r="B28" s="206" t="s">
        <v>467</v>
      </c>
      <c r="C28" s="610" t="str">
        <f>+'5.mell_adósság2019'!F27</f>
        <v>-</v>
      </c>
      <c r="D28" s="207">
        <f>+'5.mell_adósság2019'!G27</f>
        <v>9999</v>
      </c>
      <c r="E28" s="207">
        <f>+'5.mell_adósság2019'!H27</f>
        <v>0</v>
      </c>
      <c r="F28" s="611">
        <f>+'5.mell_adósság2019'!I27</f>
        <v>0</v>
      </c>
    </row>
    <row r="29" spans="1:6">
      <c r="A29" s="612" t="s">
        <v>34</v>
      </c>
      <c r="B29" s="209" t="s">
        <v>468</v>
      </c>
      <c r="C29" s="616" t="str">
        <f>+'5.mell_adósság2019'!F28</f>
        <v>-</v>
      </c>
      <c r="D29" s="210">
        <f>+'5.mell_adósság2019'!G28</f>
        <v>0</v>
      </c>
      <c r="E29" s="210">
        <f>+'5.mell_adósság2019'!H28</f>
        <v>0</v>
      </c>
      <c r="F29" s="617">
        <f>+'5.mell_adósság2019'!I28</f>
        <v>0</v>
      </c>
    </row>
    <row r="30" spans="1:6">
      <c r="A30" s="612" t="s">
        <v>33</v>
      </c>
      <c r="B30" s="209" t="s">
        <v>469</v>
      </c>
      <c r="C30" s="616" t="str">
        <f>+'5.mell_adósság2019'!F29</f>
        <v>-</v>
      </c>
      <c r="D30" s="210">
        <f>+'5.mell_adósság2019'!G29</f>
        <v>0</v>
      </c>
      <c r="E30" s="210">
        <f>+'5.mell_adósság2019'!H29</f>
        <v>0</v>
      </c>
      <c r="F30" s="617">
        <f>+'5.mell_adósság2019'!I29</f>
        <v>0</v>
      </c>
    </row>
    <row r="31" spans="1:6" s="625" customFormat="1">
      <c r="A31" s="612" t="s">
        <v>32</v>
      </c>
      <c r="B31" s="209" t="s">
        <v>470</v>
      </c>
      <c r="C31" s="616" t="str">
        <f>+'5.mell_adósság2019'!F30</f>
        <v>-</v>
      </c>
      <c r="D31" s="210">
        <f>+'5.mell_adósság2019'!G30</f>
        <v>0</v>
      </c>
      <c r="E31" s="210">
        <f>+'5.mell_adósság2019'!H30</f>
        <v>0</v>
      </c>
      <c r="F31" s="617">
        <f>+'5.mell_adósság2019'!I30</f>
        <v>0</v>
      </c>
    </row>
    <row r="32" spans="1:6">
      <c r="A32" s="612" t="s">
        <v>472</v>
      </c>
      <c r="B32" s="209" t="s">
        <v>471</v>
      </c>
      <c r="C32" s="616" t="str">
        <f>+'5.mell_adósság2019'!F31</f>
        <v>-</v>
      </c>
      <c r="D32" s="210">
        <f>+'5.mell_adósság2019'!G31</f>
        <v>0</v>
      </c>
      <c r="E32" s="210">
        <f>+'5.mell_adósság2019'!H31</f>
        <v>0</v>
      </c>
      <c r="F32" s="617">
        <f>+'5.mell_adósság2019'!I31</f>
        <v>0</v>
      </c>
    </row>
    <row r="33" spans="1:6" ht="24">
      <c r="A33" s="612" t="s">
        <v>473</v>
      </c>
      <c r="B33" s="209" t="s">
        <v>854</v>
      </c>
      <c r="C33" s="616" t="str">
        <f>+'5.mell_adósság2019'!F32</f>
        <v>-</v>
      </c>
      <c r="D33" s="210">
        <f>+'5.mell_adósság2019'!G32</f>
        <v>0</v>
      </c>
      <c r="E33" s="210">
        <f>+'5.mell_adósság2019'!H32</f>
        <v>0</v>
      </c>
      <c r="F33" s="617">
        <f>+'5.mell_adósság2019'!I32</f>
        <v>0</v>
      </c>
    </row>
    <row r="34" spans="1:6">
      <c r="A34" s="612" t="s">
        <v>474</v>
      </c>
      <c r="B34" s="209" t="s">
        <v>853</v>
      </c>
      <c r="C34" s="616" t="str">
        <f>+'5.mell_adósság2019'!F33</f>
        <v>-</v>
      </c>
      <c r="D34" s="210">
        <f>+'5.mell_adósság2019'!G33</f>
        <v>0</v>
      </c>
      <c r="E34" s="210">
        <f>+'5.mell_adósság2019'!H33</f>
        <v>0</v>
      </c>
      <c r="F34" s="617">
        <f>+'5.mell_adósság2019'!I33</f>
        <v>0</v>
      </c>
    </row>
    <row r="35" spans="1:6" ht="24">
      <c r="A35" s="612" t="s">
        <v>475</v>
      </c>
      <c r="B35" s="219" t="s">
        <v>855</v>
      </c>
      <c r="C35" s="616" t="str">
        <f>+'5.mell_adósság2019'!F34</f>
        <v>-</v>
      </c>
      <c r="D35" s="210">
        <f>+'5.mell_adósság2019'!G34</f>
        <v>0</v>
      </c>
      <c r="E35" s="210">
        <f>+'5.mell_adósság2019'!H34</f>
        <v>0</v>
      </c>
      <c r="F35" s="617">
        <f>+'5.mell_adósság2019'!I34</f>
        <v>0</v>
      </c>
    </row>
    <row r="36" spans="1:6" ht="12.75" thickBot="1">
      <c r="A36" s="618" t="s">
        <v>488</v>
      </c>
      <c r="B36" s="219" t="s">
        <v>973</v>
      </c>
      <c r="C36" s="620" t="str">
        <f>+'5.mell_adósság2019'!F35</f>
        <v>-</v>
      </c>
      <c r="D36" s="213">
        <f>+'5.mell_adósság2019'!G35</f>
        <v>0</v>
      </c>
      <c r="E36" s="213">
        <f>+'5.mell_adósság2019'!H35</f>
        <v>0</v>
      </c>
      <c r="F36" s="619">
        <f>+'5.mell_adósság2019'!I35</f>
        <v>0</v>
      </c>
    </row>
    <row r="37" spans="1:6" s="161" customFormat="1" ht="12.75" thickBot="1">
      <c r="A37" s="613" t="s">
        <v>489</v>
      </c>
      <c r="B37" s="215" t="s">
        <v>858</v>
      </c>
      <c r="C37" s="614" t="e">
        <f>+C17+C27</f>
        <v>#VALUE!</v>
      </c>
      <c r="D37" s="217">
        <f t="shared" ref="D37:F37" si="4">+D17+D27</f>
        <v>38306</v>
      </c>
      <c r="E37" s="217">
        <f t="shared" si="4"/>
        <v>28308</v>
      </c>
      <c r="F37" s="615">
        <f t="shared" si="4"/>
        <v>2000</v>
      </c>
    </row>
    <row r="38" spans="1:6" s="161" customFormat="1" ht="12.75" thickBot="1">
      <c r="A38" s="621" t="s">
        <v>490</v>
      </c>
      <c r="B38" s="220" t="s">
        <v>859</v>
      </c>
      <c r="C38" s="622" t="e">
        <f>+C16-C37</f>
        <v>#VALUE!</v>
      </c>
      <c r="D38" s="221">
        <f t="shared" ref="D38:F38" si="5">+D16-D37</f>
        <v>144302</v>
      </c>
      <c r="E38" s="221">
        <f t="shared" si="5"/>
        <v>161615</v>
      </c>
      <c r="F38" s="623">
        <f t="shared" si="5"/>
        <v>195167</v>
      </c>
    </row>
    <row r="40" spans="1:6" hidden="1">
      <c r="C40" s="226">
        <f>+'5.mell_adósság2019'!F37</f>
        <v>0.78773945367648013</v>
      </c>
      <c r="D40" s="226">
        <f>+'5.mell_adósság2019'!G37</f>
        <v>144302</v>
      </c>
      <c r="E40" s="226">
        <f>+'5.mell_adósság2019'!H37</f>
        <v>161615</v>
      </c>
      <c r="F40" s="226">
        <f>+'5.mell_adósság2019'!I37</f>
        <v>195167</v>
      </c>
    </row>
    <row r="41" spans="1:6" hidden="1">
      <c r="C41" s="226" t="e">
        <f>+C38-C40</f>
        <v>#VALUE!</v>
      </c>
      <c r="D41" s="226">
        <f t="shared" ref="D41:F41" si="6">+D38-D40</f>
        <v>0</v>
      </c>
      <c r="E41" s="226">
        <f t="shared" si="6"/>
        <v>0</v>
      </c>
      <c r="F41" s="226">
        <f t="shared" si="6"/>
        <v>0</v>
      </c>
    </row>
  </sheetData>
  <mergeCells count="4">
    <mergeCell ref="A3:F3"/>
    <mergeCell ref="A6:A7"/>
    <mergeCell ref="B6:B7"/>
    <mergeCell ref="C6:F6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9">
    <tabColor rgb="FF00B0F0"/>
  </sheetPr>
  <dimension ref="A1:AD242"/>
  <sheetViews>
    <sheetView zoomScaleNormal="100" workbookViewId="0"/>
  </sheetViews>
  <sheetFormatPr defaultRowHeight="12"/>
  <cols>
    <col min="1" max="1" width="6.5703125" style="118" customWidth="1"/>
    <col min="2" max="2" width="109.5703125" style="118" bestFit="1" customWidth="1"/>
    <col min="3" max="5" width="9.28515625" style="4" customWidth="1"/>
    <col min="6" max="6" width="9.28515625" style="1565" customWidth="1"/>
    <col min="7" max="9" width="9.28515625" style="118" customWidth="1"/>
    <col min="10" max="10" width="9.140625" style="118" customWidth="1"/>
    <col min="11" max="11" width="9.140625" style="4" hidden="1" customWidth="1"/>
    <col min="12" max="12" width="9.140625" style="118" customWidth="1"/>
    <col min="13" max="16384" width="9.140625" style="118"/>
  </cols>
  <sheetData>
    <row r="1" spans="1:11" s="872" customFormat="1" ht="15.75">
      <c r="C1" s="50"/>
      <c r="D1" s="50"/>
      <c r="E1" s="50"/>
      <c r="F1" s="1547"/>
      <c r="I1" s="873" t="s">
        <v>355</v>
      </c>
      <c r="K1" s="50"/>
    </row>
    <row r="2" spans="1:11" s="872" customFormat="1" ht="15.75">
      <c r="C2" s="50"/>
      <c r="D2" s="50"/>
      <c r="E2" s="50"/>
      <c r="F2" s="1547"/>
      <c r="K2" s="50"/>
    </row>
    <row r="3" spans="1:11" s="874" customFormat="1" ht="15.75">
      <c r="A3" s="1794" t="s">
        <v>872</v>
      </c>
      <c r="B3" s="1794"/>
      <c r="C3" s="1794"/>
      <c r="D3" s="1794"/>
      <c r="E3" s="1794"/>
      <c r="F3" s="1794"/>
      <c r="G3" s="1794"/>
      <c r="H3" s="1794"/>
      <c r="I3" s="1794"/>
      <c r="K3" s="52"/>
    </row>
    <row r="4" spans="1:11" s="874" customFormat="1" ht="15.75">
      <c r="A4" s="1794" t="s">
        <v>1308</v>
      </c>
      <c r="B4" s="1794"/>
      <c r="C4" s="1794"/>
      <c r="D4" s="1794"/>
      <c r="E4" s="1794"/>
      <c r="F4" s="1794"/>
      <c r="G4" s="1794"/>
      <c r="H4" s="1794"/>
      <c r="I4" s="1794"/>
      <c r="K4" s="52"/>
    </row>
    <row r="5" spans="1:11" s="872" customFormat="1" ht="15.75">
      <c r="C5" s="50"/>
      <c r="D5" s="50"/>
      <c r="E5" s="50"/>
      <c r="F5" s="1547"/>
      <c r="K5" s="50"/>
    </row>
    <row r="6" spans="1:11" s="874" customFormat="1" ht="15.75">
      <c r="A6" s="1794" t="s">
        <v>48</v>
      </c>
      <c r="B6" s="1794"/>
      <c r="C6" s="1794"/>
      <c r="D6" s="1794"/>
      <c r="E6" s="1794"/>
      <c r="F6" s="1794"/>
      <c r="G6" s="1794"/>
      <c r="H6" s="1794"/>
      <c r="I6" s="1794"/>
      <c r="K6" s="52"/>
    </row>
    <row r="7" spans="1:11" s="876" customFormat="1" ht="12.75" thickBot="1">
      <c r="A7" s="875" t="s">
        <v>280</v>
      </c>
      <c r="C7" s="36"/>
      <c r="D7" s="36"/>
      <c r="E7" s="36"/>
      <c r="F7" s="1548"/>
      <c r="I7" s="877" t="s">
        <v>281</v>
      </c>
      <c r="K7" s="36"/>
    </row>
    <row r="8" spans="1:11" s="883" customFormat="1" ht="54" customHeight="1" thickBot="1">
      <c r="A8" s="79" t="s">
        <v>17</v>
      </c>
      <c r="B8" s="93" t="s">
        <v>328</v>
      </c>
      <c r="C8" s="1570" t="s">
        <v>1553</v>
      </c>
      <c r="D8" s="1571" t="s">
        <v>1554</v>
      </c>
      <c r="E8" s="6" t="s">
        <v>2646</v>
      </c>
      <c r="F8" s="1549" t="s">
        <v>2645</v>
      </c>
      <c r="G8" s="5" t="s">
        <v>51</v>
      </c>
      <c r="H8" s="6" t="s">
        <v>52</v>
      </c>
      <c r="I8" s="7" t="s">
        <v>53</v>
      </c>
      <c r="K8" s="8"/>
    </row>
    <row r="9" spans="1:11" s="119" customFormat="1" ht="13.5" customHeight="1" thickBot="1">
      <c r="A9" s="884" t="s">
        <v>253</v>
      </c>
      <c r="B9" s="885" t="s">
        <v>254</v>
      </c>
      <c r="C9" s="1795" t="s">
        <v>255</v>
      </c>
      <c r="D9" s="1796"/>
      <c r="E9" s="1796"/>
      <c r="F9" s="1796"/>
      <c r="G9" s="1796"/>
      <c r="H9" s="1796"/>
      <c r="I9" s="1797"/>
      <c r="K9" s="3"/>
    </row>
    <row r="10" spans="1:11" s="119" customFormat="1" ht="12.75" thickBot="1">
      <c r="A10" s="886" t="s">
        <v>4</v>
      </c>
      <c r="B10" s="887" t="s">
        <v>297</v>
      </c>
      <c r="C10" s="1102">
        <f>+C11+C25+C32+C44</f>
        <v>38524</v>
      </c>
      <c r="D10" s="133">
        <f>+D11+D25+D32+D44</f>
        <v>56680</v>
      </c>
      <c r="E10" s="133">
        <f>+E11+E25+E32+E44</f>
        <v>52462</v>
      </c>
      <c r="F10" s="1550">
        <f t="shared" ref="F10:F73" si="0">IF(ISERROR(E10/D10),"-",E10/D10)</f>
        <v>0.92558221594918844</v>
      </c>
      <c r="G10" s="888">
        <f>+G11+G25+G32+G44</f>
        <v>19718</v>
      </c>
      <c r="H10" s="889">
        <f>+H11+H25+H32+H44</f>
        <v>26222</v>
      </c>
      <c r="I10" s="890">
        <f>+I11+I25+I32+I44</f>
        <v>6522</v>
      </c>
      <c r="K10" s="3">
        <f t="shared" ref="K10:K73" si="1">+E10-G10-H10-I10</f>
        <v>0</v>
      </c>
    </row>
    <row r="11" spans="1:11" s="119" customFormat="1" ht="12.75" customHeight="1" thickBot="1">
      <c r="A11" s="884" t="s">
        <v>5</v>
      </c>
      <c r="B11" s="891" t="s">
        <v>298</v>
      </c>
      <c r="C11" s="1103">
        <f>+C12+C19+C20+C21+C22+C23</f>
        <v>0</v>
      </c>
      <c r="D11" s="28">
        <f>+D12+D19+D20+D21+D22+D23</f>
        <v>11862</v>
      </c>
      <c r="E11" s="28">
        <f>+E12+E19+E20+E21+E22+E23</f>
        <v>11862</v>
      </c>
      <c r="F11" s="1551">
        <f t="shared" si="0"/>
        <v>1</v>
      </c>
      <c r="G11" s="110">
        <f>+G12+G19+G20+G21+G22+G23</f>
        <v>5340</v>
      </c>
      <c r="H11" s="111">
        <f>+H12+H19+H20+H21+H22+H23</f>
        <v>0</v>
      </c>
      <c r="I11" s="112">
        <f>+I12+I19+I20+I21+I22+I23</f>
        <v>6522</v>
      </c>
      <c r="K11" s="3">
        <f t="shared" si="1"/>
        <v>0</v>
      </c>
    </row>
    <row r="12" spans="1:11" s="119" customFormat="1">
      <c r="A12" s="892" t="s">
        <v>54</v>
      </c>
      <c r="B12" s="113" t="s">
        <v>299</v>
      </c>
      <c r="C12" s="1104">
        <f>+C13+C14+C15+C16+C17+C18</f>
        <v>0</v>
      </c>
      <c r="D12" s="10">
        <f>+D13+D14+D15+D16+D17+D18</f>
        <v>0</v>
      </c>
      <c r="E12" s="10">
        <f>+E13+E14+E15+E16+E17+E18</f>
        <v>0</v>
      </c>
      <c r="F12" s="1552" t="str">
        <f t="shared" si="0"/>
        <v>-</v>
      </c>
      <c r="G12" s="893">
        <f>+G13+G14+G15+G16+G17+G18</f>
        <v>0</v>
      </c>
      <c r="H12" s="894">
        <f>+H13+H14+H15+H16+H17+H18</f>
        <v>0</v>
      </c>
      <c r="I12" s="895">
        <f>+I13+I14+I15+I16+I17+I18</f>
        <v>0</v>
      </c>
      <c r="K12" s="4">
        <f t="shared" si="1"/>
        <v>0</v>
      </c>
    </row>
    <row r="13" spans="1:11" s="117" customFormat="1">
      <c r="A13" s="108" t="s">
        <v>190</v>
      </c>
      <c r="B13" s="109" t="s">
        <v>93</v>
      </c>
      <c r="C13" s="1105"/>
      <c r="D13" s="12"/>
      <c r="E13" s="12"/>
      <c r="F13" s="1553" t="str">
        <f t="shared" si="0"/>
        <v>-</v>
      </c>
      <c r="G13" s="656"/>
      <c r="H13" s="657"/>
      <c r="I13" s="658"/>
      <c r="K13" s="13">
        <f t="shared" si="1"/>
        <v>0</v>
      </c>
    </row>
    <row r="14" spans="1:11" s="117" customFormat="1">
      <c r="A14" s="108" t="s">
        <v>191</v>
      </c>
      <c r="B14" s="109" t="s">
        <v>94</v>
      </c>
      <c r="C14" s="1105"/>
      <c r="D14" s="12"/>
      <c r="E14" s="12"/>
      <c r="F14" s="1553" t="str">
        <f t="shared" si="0"/>
        <v>-</v>
      </c>
      <c r="G14" s="656"/>
      <c r="H14" s="657"/>
      <c r="I14" s="658"/>
      <c r="K14" s="13">
        <f t="shared" si="1"/>
        <v>0</v>
      </c>
    </row>
    <row r="15" spans="1:11" s="117" customFormat="1">
      <c r="A15" s="108" t="s">
        <v>192</v>
      </c>
      <c r="B15" s="109" t="s">
        <v>95</v>
      </c>
      <c r="C15" s="1105"/>
      <c r="D15" s="12"/>
      <c r="E15" s="12"/>
      <c r="F15" s="1553" t="str">
        <f t="shared" si="0"/>
        <v>-</v>
      </c>
      <c r="G15" s="656"/>
      <c r="H15" s="657"/>
      <c r="I15" s="658"/>
      <c r="K15" s="13">
        <f t="shared" si="1"/>
        <v>0</v>
      </c>
    </row>
    <row r="16" spans="1:11" s="117" customFormat="1">
      <c r="A16" s="108" t="s">
        <v>193</v>
      </c>
      <c r="B16" s="109" t="s">
        <v>96</v>
      </c>
      <c r="C16" s="1105"/>
      <c r="D16" s="12"/>
      <c r="E16" s="12"/>
      <c r="F16" s="1553" t="str">
        <f t="shared" si="0"/>
        <v>-</v>
      </c>
      <c r="G16" s="656"/>
      <c r="H16" s="657"/>
      <c r="I16" s="658"/>
      <c r="K16" s="13">
        <f t="shared" si="1"/>
        <v>0</v>
      </c>
    </row>
    <row r="17" spans="1:11" s="117" customFormat="1">
      <c r="A17" s="108" t="s">
        <v>194</v>
      </c>
      <c r="B17" s="109" t="s">
        <v>899</v>
      </c>
      <c r="C17" s="1105"/>
      <c r="D17" s="12"/>
      <c r="E17" s="12"/>
      <c r="F17" s="1554" t="str">
        <f t="shared" si="0"/>
        <v>-</v>
      </c>
      <c r="G17" s="656"/>
      <c r="H17" s="657"/>
      <c r="I17" s="658"/>
      <c r="K17" s="13">
        <f t="shared" si="1"/>
        <v>0</v>
      </c>
    </row>
    <row r="18" spans="1:11" s="117" customFormat="1">
      <c r="A18" s="108" t="s">
        <v>195</v>
      </c>
      <c r="B18" s="109" t="s">
        <v>900</v>
      </c>
      <c r="C18" s="1105"/>
      <c r="D18" s="12"/>
      <c r="E18" s="12"/>
      <c r="F18" s="1554" t="str">
        <f t="shared" si="0"/>
        <v>-</v>
      </c>
      <c r="G18" s="656"/>
      <c r="H18" s="657"/>
      <c r="I18" s="658"/>
      <c r="K18" s="13">
        <f t="shared" si="1"/>
        <v>0</v>
      </c>
    </row>
    <row r="19" spans="1:11">
      <c r="A19" s="896" t="s">
        <v>55</v>
      </c>
      <c r="B19" s="897" t="s">
        <v>97</v>
      </c>
      <c r="C19" s="1106"/>
      <c r="D19" s="11"/>
      <c r="E19" s="11"/>
      <c r="F19" s="1553" t="str">
        <f t="shared" si="0"/>
        <v>-</v>
      </c>
      <c r="G19" s="866"/>
      <c r="H19" s="867"/>
      <c r="I19" s="868"/>
      <c r="K19" s="4">
        <f t="shared" si="1"/>
        <v>0</v>
      </c>
    </row>
    <row r="20" spans="1:11">
      <c r="A20" s="896" t="s">
        <v>83</v>
      </c>
      <c r="B20" s="897" t="s">
        <v>98</v>
      </c>
      <c r="C20" s="1106"/>
      <c r="D20" s="11"/>
      <c r="E20" s="11"/>
      <c r="F20" s="1553" t="str">
        <f t="shared" si="0"/>
        <v>-</v>
      </c>
      <c r="G20" s="866"/>
      <c r="H20" s="867"/>
      <c r="I20" s="868"/>
      <c r="K20" s="4">
        <f t="shared" si="1"/>
        <v>0</v>
      </c>
    </row>
    <row r="21" spans="1:11">
      <c r="A21" s="896" t="s">
        <v>84</v>
      </c>
      <c r="B21" s="897" t="s">
        <v>99</v>
      </c>
      <c r="C21" s="1106"/>
      <c r="D21" s="11"/>
      <c r="E21" s="11"/>
      <c r="F21" s="1553" t="str">
        <f t="shared" si="0"/>
        <v>-</v>
      </c>
      <c r="G21" s="866"/>
      <c r="H21" s="867"/>
      <c r="I21" s="868"/>
      <c r="K21" s="4">
        <f t="shared" si="1"/>
        <v>0</v>
      </c>
    </row>
    <row r="22" spans="1:11">
      <c r="A22" s="896" t="s">
        <v>85</v>
      </c>
      <c r="B22" s="897" t="s">
        <v>100</v>
      </c>
      <c r="C22" s="1106"/>
      <c r="D22" s="11"/>
      <c r="E22" s="11"/>
      <c r="F22" s="1553" t="str">
        <f t="shared" si="0"/>
        <v>-</v>
      </c>
      <c r="G22" s="866"/>
      <c r="H22" s="867"/>
      <c r="I22" s="868"/>
      <c r="K22" s="4">
        <f t="shared" si="1"/>
        <v>0</v>
      </c>
    </row>
    <row r="23" spans="1:11">
      <c r="A23" s="898" t="s">
        <v>86</v>
      </c>
      <c r="B23" s="899" t="s">
        <v>101</v>
      </c>
      <c r="C23" s="1107"/>
      <c r="D23" s="22">
        <v>11862</v>
      </c>
      <c r="E23" s="22">
        <v>11862</v>
      </c>
      <c r="F23" s="1555">
        <f t="shared" si="0"/>
        <v>1</v>
      </c>
      <c r="G23" s="869">
        <v>5340</v>
      </c>
      <c r="H23" s="870"/>
      <c r="I23" s="871">
        <v>6522</v>
      </c>
      <c r="K23" s="4">
        <f t="shared" si="1"/>
        <v>0</v>
      </c>
    </row>
    <row r="24" spans="1:11" s="117" customFormat="1" ht="12.75" thickBot="1">
      <c r="A24" s="900" t="s">
        <v>332</v>
      </c>
      <c r="B24" s="901" t="s">
        <v>333</v>
      </c>
      <c r="C24" s="1108"/>
      <c r="D24" s="43">
        <v>2893</v>
      </c>
      <c r="E24" s="43">
        <v>2893</v>
      </c>
      <c r="F24" s="1555">
        <f t="shared" si="0"/>
        <v>1</v>
      </c>
      <c r="G24" s="902">
        <v>2893</v>
      </c>
      <c r="H24" s="903"/>
      <c r="I24" s="904"/>
      <c r="K24" s="13">
        <f t="shared" si="1"/>
        <v>0</v>
      </c>
    </row>
    <row r="25" spans="1:11" s="119" customFormat="1" ht="12.75" customHeight="1" thickBot="1">
      <c r="A25" s="884" t="s">
        <v>6</v>
      </c>
      <c r="B25" s="891" t="s">
        <v>785</v>
      </c>
      <c r="C25" s="1103">
        <f>+C26+C27+C28+C29+C30+C31</f>
        <v>0</v>
      </c>
      <c r="D25" s="28">
        <f>+D26+D27+D28+D29+D30+D31</f>
        <v>10</v>
      </c>
      <c r="E25" s="28">
        <f>+E26+E27+E28+E29+E30+E31</f>
        <v>0</v>
      </c>
      <c r="F25" s="1551">
        <f t="shared" si="0"/>
        <v>0</v>
      </c>
      <c r="G25" s="110">
        <f>+G26+G27+G28+G29+G30+G31</f>
        <v>0</v>
      </c>
      <c r="H25" s="111">
        <f>+H26+H27+H28+H29+H30+H31</f>
        <v>0</v>
      </c>
      <c r="I25" s="112">
        <f>+I26+I27+I28+I29+I30+I31</f>
        <v>0</v>
      </c>
      <c r="K25" s="3">
        <f t="shared" si="1"/>
        <v>0</v>
      </c>
    </row>
    <row r="26" spans="1:11" ht="12.75" customHeight="1">
      <c r="A26" s="892" t="s">
        <v>58</v>
      </c>
      <c r="B26" s="113" t="s">
        <v>102</v>
      </c>
      <c r="C26" s="1104"/>
      <c r="D26" s="10"/>
      <c r="E26" s="10"/>
      <c r="F26" s="1552" t="str">
        <f t="shared" si="0"/>
        <v>-</v>
      </c>
      <c r="G26" s="114"/>
      <c r="H26" s="115"/>
      <c r="I26" s="116"/>
      <c r="K26" s="4">
        <f t="shared" si="1"/>
        <v>0</v>
      </c>
    </row>
    <row r="27" spans="1:11" ht="12.75" customHeight="1">
      <c r="A27" s="896" t="s">
        <v>59</v>
      </c>
      <c r="B27" s="897" t="s">
        <v>103</v>
      </c>
      <c r="C27" s="1106"/>
      <c r="D27" s="11"/>
      <c r="E27" s="11"/>
      <c r="F27" s="1553" t="str">
        <f t="shared" si="0"/>
        <v>-</v>
      </c>
      <c r="G27" s="866"/>
      <c r="H27" s="867"/>
      <c r="I27" s="868"/>
      <c r="K27" s="4">
        <f t="shared" si="1"/>
        <v>0</v>
      </c>
    </row>
    <row r="28" spans="1:11" ht="12.75" customHeight="1">
      <c r="A28" s="896" t="s">
        <v>60</v>
      </c>
      <c r="B28" s="897" t="s">
        <v>104</v>
      </c>
      <c r="C28" s="1106"/>
      <c r="D28" s="11"/>
      <c r="E28" s="11"/>
      <c r="F28" s="1553" t="str">
        <f t="shared" si="0"/>
        <v>-</v>
      </c>
      <c r="G28" s="866"/>
      <c r="H28" s="867"/>
      <c r="I28" s="868"/>
      <c r="K28" s="4">
        <f t="shared" si="1"/>
        <v>0</v>
      </c>
    </row>
    <row r="29" spans="1:11" ht="12.75" customHeight="1">
      <c r="A29" s="896" t="s">
        <v>180</v>
      </c>
      <c r="B29" s="897" t="s">
        <v>105</v>
      </c>
      <c r="C29" s="1106"/>
      <c r="D29" s="11"/>
      <c r="E29" s="11"/>
      <c r="F29" s="1553" t="str">
        <f t="shared" si="0"/>
        <v>-</v>
      </c>
      <c r="G29" s="866"/>
      <c r="H29" s="867"/>
      <c r="I29" s="868"/>
      <c r="K29" s="4">
        <f t="shared" si="1"/>
        <v>0</v>
      </c>
    </row>
    <row r="30" spans="1:11" ht="12.75" customHeight="1">
      <c r="A30" s="898" t="s">
        <v>181</v>
      </c>
      <c r="B30" s="899" t="s">
        <v>106</v>
      </c>
      <c r="C30" s="1107"/>
      <c r="D30" s="22"/>
      <c r="E30" s="22"/>
      <c r="F30" s="1555" t="str">
        <f t="shared" si="0"/>
        <v>-</v>
      </c>
      <c r="G30" s="866"/>
      <c r="H30" s="867"/>
      <c r="I30" s="868"/>
      <c r="K30" s="4">
        <f t="shared" si="1"/>
        <v>0</v>
      </c>
    </row>
    <row r="31" spans="1:11" ht="12.75" customHeight="1" thickBot="1">
      <c r="A31" s="898" t="s">
        <v>784</v>
      </c>
      <c r="B31" s="899" t="s">
        <v>786</v>
      </c>
      <c r="C31" s="1107"/>
      <c r="D31" s="22">
        <v>10</v>
      </c>
      <c r="E31" s="22"/>
      <c r="F31" s="1555">
        <f t="shared" si="0"/>
        <v>0</v>
      </c>
      <c r="G31" s="866"/>
      <c r="H31" s="867"/>
      <c r="I31" s="868"/>
      <c r="K31" s="4">
        <f t="shared" si="1"/>
        <v>0</v>
      </c>
    </row>
    <row r="32" spans="1:11" s="119" customFormat="1" ht="12.75" customHeight="1" thickBot="1">
      <c r="A32" s="884" t="s">
        <v>3</v>
      </c>
      <c r="B32" s="891" t="s">
        <v>975</v>
      </c>
      <c r="C32" s="1103">
        <f>+C33+C34+C35+C36+C37+C38+C39+C40+C41+C42+C43</f>
        <v>38524</v>
      </c>
      <c r="D32" s="28">
        <f>+D33+D34+D35+D36+D37+D38+D39+D40+D41+D42+D43</f>
        <v>44808</v>
      </c>
      <c r="E32" s="28">
        <f>+E33+E34+E35+E36+E37+E38+E39+E40+E41+E42+E43</f>
        <v>40600</v>
      </c>
      <c r="F32" s="1551">
        <f t="shared" si="0"/>
        <v>0.90608819853597566</v>
      </c>
      <c r="G32" s="110">
        <f>+G33+G34+G35+G36+G37+G38+G39+G40+G41+G42+G43</f>
        <v>14378</v>
      </c>
      <c r="H32" s="111">
        <f>+H33+H34+H35+H36+H37+H38+H39+H40+H41+H42+H43</f>
        <v>26222</v>
      </c>
      <c r="I32" s="112">
        <f>+I33+I34+I35+I36+I37+I38+I39+I40+I41+I42+I43</f>
        <v>0</v>
      </c>
      <c r="K32" s="3">
        <f t="shared" si="1"/>
        <v>0</v>
      </c>
    </row>
    <row r="33" spans="1:11" ht="12.75" customHeight="1">
      <c r="A33" s="892" t="s">
        <v>61</v>
      </c>
      <c r="B33" s="113" t="s">
        <v>107</v>
      </c>
      <c r="C33" s="1104"/>
      <c r="D33" s="10"/>
      <c r="E33" s="10"/>
      <c r="F33" s="1552" t="str">
        <f t="shared" si="0"/>
        <v>-</v>
      </c>
      <c r="G33" s="114"/>
      <c r="H33" s="115"/>
      <c r="I33" s="116"/>
      <c r="K33" s="4">
        <f t="shared" si="1"/>
        <v>0</v>
      </c>
    </row>
    <row r="34" spans="1:11" ht="12.75" customHeight="1">
      <c r="A34" s="896" t="s">
        <v>62</v>
      </c>
      <c r="B34" s="897" t="s">
        <v>108</v>
      </c>
      <c r="C34" s="1106">
        <v>23727</v>
      </c>
      <c r="D34" s="11">
        <v>30122</v>
      </c>
      <c r="E34" s="11">
        <f>27075-1</f>
        <v>27074</v>
      </c>
      <c r="F34" s="1553">
        <f t="shared" si="0"/>
        <v>0.89881149990040499</v>
      </c>
      <c r="G34" s="866">
        <v>6420</v>
      </c>
      <c r="H34" s="867">
        <v>20654</v>
      </c>
      <c r="I34" s="868"/>
      <c r="K34" s="4">
        <f t="shared" si="1"/>
        <v>0</v>
      </c>
    </row>
    <row r="35" spans="1:11" ht="12.75" customHeight="1">
      <c r="A35" s="896" t="s">
        <v>63</v>
      </c>
      <c r="B35" s="897" t="s">
        <v>109</v>
      </c>
      <c r="C35" s="1106">
        <v>6830</v>
      </c>
      <c r="D35" s="11">
        <v>5348</v>
      </c>
      <c r="E35" s="11">
        <v>5291</v>
      </c>
      <c r="F35" s="1553">
        <f t="shared" si="0"/>
        <v>0.98934181002243826</v>
      </c>
      <c r="G35" s="866">
        <v>5291</v>
      </c>
      <c r="H35" s="867"/>
      <c r="I35" s="868"/>
      <c r="K35" s="4">
        <f t="shared" si="1"/>
        <v>0</v>
      </c>
    </row>
    <row r="36" spans="1:11" ht="12.75" customHeight="1">
      <c r="A36" s="896" t="s">
        <v>64</v>
      </c>
      <c r="B36" s="897" t="s">
        <v>110</v>
      </c>
      <c r="C36" s="1106"/>
      <c r="D36" s="11"/>
      <c r="E36" s="11"/>
      <c r="F36" s="1553" t="str">
        <f t="shared" si="0"/>
        <v>-</v>
      </c>
      <c r="G36" s="866"/>
      <c r="H36" s="867"/>
      <c r="I36" s="868"/>
      <c r="K36" s="4">
        <f t="shared" si="1"/>
        <v>0</v>
      </c>
    </row>
    <row r="37" spans="1:11" ht="12.75" customHeight="1">
      <c r="A37" s="896" t="s">
        <v>65</v>
      </c>
      <c r="B37" s="897" t="s">
        <v>111</v>
      </c>
      <c r="C37" s="1106"/>
      <c r="D37" s="11"/>
      <c r="E37" s="11"/>
      <c r="F37" s="1553" t="str">
        <f t="shared" si="0"/>
        <v>-</v>
      </c>
      <c r="G37" s="866"/>
      <c r="H37" s="867"/>
      <c r="I37" s="868"/>
      <c r="K37" s="4">
        <f t="shared" si="1"/>
        <v>0</v>
      </c>
    </row>
    <row r="38" spans="1:11" ht="12.75" customHeight="1">
      <c r="A38" s="896" t="s">
        <v>222</v>
      </c>
      <c r="B38" s="897" t="s">
        <v>112</v>
      </c>
      <c r="C38" s="1106">
        <v>7967</v>
      </c>
      <c r="D38" s="11">
        <v>8318</v>
      </c>
      <c r="E38" s="11">
        <v>7215</v>
      </c>
      <c r="F38" s="1553">
        <f t="shared" si="0"/>
        <v>0.86739600865592692</v>
      </c>
      <c r="G38" s="866">
        <v>1647</v>
      </c>
      <c r="H38" s="867">
        <v>5568</v>
      </c>
      <c r="I38" s="868"/>
      <c r="K38" s="4">
        <f t="shared" si="1"/>
        <v>0</v>
      </c>
    </row>
    <row r="39" spans="1:11" ht="12.75" customHeight="1">
      <c r="A39" s="896" t="s">
        <v>223</v>
      </c>
      <c r="B39" s="897" t="s">
        <v>113</v>
      </c>
      <c r="C39" s="1106"/>
      <c r="D39" s="11"/>
      <c r="E39" s="11"/>
      <c r="F39" s="1553" t="str">
        <f t="shared" si="0"/>
        <v>-</v>
      </c>
      <c r="G39" s="866"/>
      <c r="H39" s="867"/>
      <c r="I39" s="868"/>
      <c r="K39" s="4">
        <f t="shared" si="1"/>
        <v>0</v>
      </c>
    </row>
    <row r="40" spans="1:11" ht="12.75" customHeight="1">
      <c r="A40" s="896" t="s">
        <v>224</v>
      </c>
      <c r="B40" s="897" t="s">
        <v>985</v>
      </c>
      <c r="C40" s="1106"/>
      <c r="D40" s="11"/>
      <c r="E40" s="11"/>
      <c r="F40" s="1553" t="str">
        <f t="shared" si="0"/>
        <v>-</v>
      </c>
      <c r="G40" s="866"/>
      <c r="H40" s="867"/>
      <c r="I40" s="868"/>
      <c r="K40" s="4">
        <f t="shared" si="1"/>
        <v>0</v>
      </c>
    </row>
    <row r="41" spans="1:11" ht="12.75" customHeight="1">
      <c r="A41" s="896" t="s">
        <v>225</v>
      </c>
      <c r="B41" s="897" t="s">
        <v>114</v>
      </c>
      <c r="C41" s="1106"/>
      <c r="D41" s="11"/>
      <c r="E41" s="11"/>
      <c r="F41" s="1553" t="str">
        <f t="shared" si="0"/>
        <v>-</v>
      </c>
      <c r="G41" s="866"/>
      <c r="H41" s="867"/>
      <c r="I41" s="868"/>
      <c r="K41" s="4">
        <f t="shared" si="1"/>
        <v>0</v>
      </c>
    </row>
    <row r="42" spans="1:11" ht="12.75" customHeight="1">
      <c r="A42" s="898" t="s">
        <v>226</v>
      </c>
      <c r="B42" s="899" t="s">
        <v>902</v>
      </c>
      <c r="C42" s="1106"/>
      <c r="D42" s="11">
        <v>328</v>
      </c>
      <c r="E42" s="11">
        <v>328</v>
      </c>
      <c r="F42" s="1553">
        <f t="shared" si="0"/>
        <v>1</v>
      </c>
      <c r="G42" s="866">
        <v>328</v>
      </c>
      <c r="H42" s="867"/>
      <c r="I42" s="868"/>
      <c r="K42" s="4">
        <f t="shared" si="1"/>
        <v>0</v>
      </c>
    </row>
    <row r="43" spans="1:11" ht="12.75" customHeight="1" thickBot="1">
      <c r="A43" s="898" t="s">
        <v>901</v>
      </c>
      <c r="B43" s="899" t="s">
        <v>903</v>
      </c>
      <c r="C43" s="1107"/>
      <c r="D43" s="22">
        <v>692</v>
      </c>
      <c r="E43" s="22">
        <v>692</v>
      </c>
      <c r="F43" s="1555">
        <f t="shared" si="0"/>
        <v>1</v>
      </c>
      <c r="G43" s="869">
        <v>692</v>
      </c>
      <c r="H43" s="870"/>
      <c r="I43" s="871"/>
      <c r="K43" s="4">
        <f t="shared" si="1"/>
        <v>0</v>
      </c>
    </row>
    <row r="44" spans="1:11" s="119" customFormat="1" ht="12.75" thickBot="1">
      <c r="A44" s="884" t="s">
        <v>16</v>
      </c>
      <c r="B44" s="891" t="s">
        <v>976</v>
      </c>
      <c r="C44" s="1103">
        <f>+C45+C46+C47+C48+C49</f>
        <v>0</v>
      </c>
      <c r="D44" s="28">
        <f>+D45+D46+D47+D48+D49</f>
        <v>0</v>
      </c>
      <c r="E44" s="28">
        <f>+E45+E46+E47+E48+E49</f>
        <v>0</v>
      </c>
      <c r="F44" s="1551" t="str">
        <f t="shared" si="0"/>
        <v>-</v>
      </c>
      <c r="G44" s="110">
        <f>+G45+G46+G47+G48+G49</f>
        <v>0</v>
      </c>
      <c r="H44" s="111">
        <f>+H45+H46+H47+H48+H49</f>
        <v>0</v>
      </c>
      <c r="I44" s="112">
        <f>+I45+I46+I47+I48+I49</f>
        <v>0</v>
      </c>
      <c r="K44" s="3">
        <f t="shared" si="1"/>
        <v>0</v>
      </c>
    </row>
    <row r="45" spans="1:11" ht="12.75" customHeight="1">
      <c r="A45" s="892" t="s">
        <v>227</v>
      </c>
      <c r="B45" s="113" t="s">
        <v>115</v>
      </c>
      <c r="C45" s="1104"/>
      <c r="D45" s="10"/>
      <c r="E45" s="10"/>
      <c r="F45" s="1552" t="str">
        <f t="shared" si="0"/>
        <v>-</v>
      </c>
      <c r="G45" s="114"/>
      <c r="H45" s="115"/>
      <c r="I45" s="116"/>
      <c r="K45" s="4">
        <f t="shared" si="1"/>
        <v>0</v>
      </c>
    </row>
    <row r="46" spans="1:11" ht="12.75" customHeight="1">
      <c r="A46" s="892" t="s">
        <v>228</v>
      </c>
      <c r="B46" s="113" t="s">
        <v>904</v>
      </c>
      <c r="C46" s="1104"/>
      <c r="D46" s="10"/>
      <c r="E46" s="10"/>
      <c r="F46" s="1552" t="str">
        <f t="shared" si="0"/>
        <v>-</v>
      </c>
      <c r="G46" s="114"/>
      <c r="H46" s="115"/>
      <c r="I46" s="116"/>
      <c r="K46" s="4">
        <f t="shared" si="1"/>
        <v>0</v>
      </c>
    </row>
    <row r="47" spans="1:11" ht="12.75" customHeight="1">
      <c r="A47" s="892" t="s">
        <v>229</v>
      </c>
      <c r="B47" s="113" t="s">
        <v>905</v>
      </c>
      <c r="C47" s="1104"/>
      <c r="D47" s="10"/>
      <c r="E47" s="10"/>
      <c r="F47" s="1552" t="str">
        <f t="shared" si="0"/>
        <v>-</v>
      </c>
      <c r="G47" s="114"/>
      <c r="H47" s="115"/>
      <c r="I47" s="116"/>
      <c r="K47" s="4">
        <f t="shared" si="1"/>
        <v>0</v>
      </c>
    </row>
    <row r="48" spans="1:11" ht="12.75" customHeight="1">
      <c r="A48" s="896" t="s">
        <v>257</v>
      </c>
      <c r="B48" s="897" t="s">
        <v>906</v>
      </c>
      <c r="C48" s="1106"/>
      <c r="D48" s="11"/>
      <c r="E48" s="11"/>
      <c r="F48" s="1553" t="str">
        <f t="shared" si="0"/>
        <v>-</v>
      </c>
      <c r="G48" s="866"/>
      <c r="H48" s="867"/>
      <c r="I48" s="868"/>
      <c r="K48" s="4">
        <f t="shared" si="1"/>
        <v>0</v>
      </c>
    </row>
    <row r="49" spans="1:11" ht="12.75" customHeight="1" thickBot="1">
      <c r="A49" s="898" t="s">
        <v>258</v>
      </c>
      <c r="B49" s="899" t="s">
        <v>907</v>
      </c>
      <c r="C49" s="1107"/>
      <c r="D49" s="22"/>
      <c r="E49" s="22"/>
      <c r="F49" s="1555" t="str">
        <f t="shared" si="0"/>
        <v>-</v>
      </c>
      <c r="G49" s="869"/>
      <c r="H49" s="870"/>
      <c r="I49" s="871"/>
      <c r="K49" s="4">
        <f t="shared" si="1"/>
        <v>0</v>
      </c>
    </row>
    <row r="50" spans="1:11" s="119" customFormat="1" ht="12.75" thickBot="1">
      <c r="A50" s="884" t="s">
        <v>15</v>
      </c>
      <c r="B50" s="905" t="s">
        <v>300</v>
      </c>
      <c r="C50" s="1103">
        <f>+C51+C58+C64</f>
        <v>0</v>
      </c>
      <c r="D50" s="28">
        <f>+D51+D58+D64</f>
        <v>0</v>
      </c>
      <c r="E50" s="28">
        <f>+E51+E58+E64</f>
        <v>0</v>
      </c>
      <c r="F50" s="1551" t="str">
        <f t="shared" si="0"/>
        <v>-</v>
      </c>
      <c r="G50" s="110">
        <f>+G51+G58+G64</f>
        <v>0</v>
      </c>
      <c r="H50" s="111">
        <f>+H51+H58+H64</f>
        <v>0</v>
      </c>
      <c r="I50" s="112">
        <f>+I51+I58+I64</f>
        <v>0</v>
      </c>
      <c r="K50" s="3">
        <f t="shared" si="1"/>
        <v>0</v>
      </c>
    </row>
    <row r="51" spans="1:11" s="119" customFormat="1" ht="12.75" customHeight="1" thickBot="1">
      <c r="A51" s="884" t="s">
        <v>14</v>
      </c>
      <c r="B51" s="891" t="s">
        <v>301</v>
      </c>
      <c r="C51" s="1103">
        <f>+C52+C53+C54+C55+C56</f>
        <v>0</v>
      </c>
      <c r="D51" s="28">
        <f>+D52+D53+D54+D55+D56</f>
        <v>0</v>
      </c>
      <c r="E51" s="28">
        <f>+E52+E53+E54+E55+E56</f>
        <v>0</v>
      </c>
      <c r="F51" s="1551" t="str">
        <f t="shared" si="0"/>
        <v>-</v>
      </c>
      <c r="G51" s="110">
        <f>+G52+G53+G54+G55+G56</f>
        <v>0</v>
      </c>
      <c r="H51" s="111">
        <f>+H52+H53+H54+H55+H56</f>
        <v>0</v>
      </c>
      <c r="I51" s="112">
        <f>+I52+I53+I54+I55+I56</f>
        <v>0</v>
      </c>
      <c r="K51" s="3">
        <f t="shared" si="1"/>
        <v>0</v>
      </c>
    </row>
    <row r="52" spans="1:11">
      <c r="A52" s="892" t="s">
        <v>185</v>
      </c>
      <c r="B52" s="113" t="s">
        <v>116</v>
      </c>
      <c r="C52" s="1104"/>
      <c r="D52" s="10"/>
      <c r="E52" s="10"/>
      <c r="F52" s="1552" t="str">
        <f t="shared" si="0"/>
        <v>-</v>
      </c>
      <c r="G52" s="114"/>
      <c r="H52" s="115"/>
      <c r="I52" s="116"/>
      <c r="K52" s="4">
        <f t="shared" si="1"/>
        <v>0</v>
      </c>
    </row>
    <row r="53" spans="1:11">
      <c r="A53" s="896" t="s">
        <v>186</v>
      </c>
      <c r="B53" s="897" t="s">
        <v>117</v>
      </c>
      <c r="C53" s="1106"/>
      <c r="D53" s="11"/>
      <c r="E53" s="11"/>
      <c r="F53" s="1553" t="str">
        <f t="shared" si="0"/>
        <v>-</v>
      </c>
      <c r="G53" s="866"/>
      <c r="H53" s="867"/>
      <c r="I53" s="868"/>
      <c r="K53" s="4">
        <f t="shared" si="1"/>
        <v>0</v>
      </c>
    </row>
    <row r="54" spans="1:11">
      <c r="A54" s="896" t="s">
        <v>187</v>
      </c>
      <c r="B54" s="897" t="s">
        <v>118</v>
      </c>
      <c r="C54" s="1106"/>
      <c r="D54" s="11"/>
      <c r="E54" s="11"/>
      <c r="F54" s="1553" t="str">
        <f t="shared" si="0"/>
        <v>-</v>
      </c>
      <c r="G54" s="866"/>
      <c r="H54" s="867"/>
      <c r="I54" s="868"/>
      <c r="K54" s="4">
        <f t="shared" si="1"/>
        <v>0</v>
      </c>
    </row>
    <row r="55" spans="1:11">
      <c r="A55" s="896" t="s">
        <v>188</v>
      </c>
      <c r="B55" s="897" t="s">
        <v>119</v>
      </c>
      <c r="C55" s="1106"/>
      <c r="D55" s="11"/>
      <c r="E55" s="11"/>
      <c r="F55" s="1553" t="str">
        <f t="shared" si="0"/>
        <v>-</v>
      </c>
      <c r="G55" s="866"/>
      <c r="H55" s="867"/>
      <c r="I55" s="868"/>
      <c r="K55" s="4">
        <f t="shared" si="1"/>
        <v>0</v>
      </c>
    </row>
    <row r="56" spans="1:11">
      <c r="A56" s="898" t="s">
        <v>189</v>
      </c>
      <c r="B56" s="899" t="s">
        <v>120</v>
      </c>
      <c r="C56" s="1107"/>
      <c r="D56" s="22"/>
      <c r="E56" s="22"/>
      <c r="F56" s="1555" t="str">
        <f t="shared" si="0"/>
        <v>-</v>
      </c>
      <c r="G56" s="869"/>
      <c r="H56" s="870"/>
      <c r="I56" s="871"/>
      <c r="K56" s="4">
        <f t="shared" si="1"/>
        <v>0</v>
      </c>
    </row>
    <row r="57" spans="1:11" s="117" customFormat="1" ht="12.75" thickBot="1">
      <c r="A57" s="900" t="s">
        <v>334</v>
      </c>
      <c r="B57" s="901" t="s">
        <v>338</v>
      </c>
      <c r="C57" s="1108"/>
      <c r="D57" s="43"/>
      <c r="E57" s="43"/>
      <c r="F57" s="1555" t="str">
        <f t="shared" si="0"/>
        <v>-</v>
      </c>
      <c r="G57" s="902"/>
      <c r="H57" s="903"/>
      <c r="I57" s="904"/>
      <c r="K57" s="13">
        <f t="shared" si="1"/>
        <v>0</v>
      </c>
    </row>
    <row r="58" spans="1:11" s="119" customFormat="1" ht="12.75" customHeight="1" thickBot="1">
      <c r="A58" s="884" t="s">
        <v>13</v>
      </c>
      <c r="B58" s="891" t="s">
        <v>302</v>
      </c>
      <c r="C58" s="1103">
        <f>+C59+C60+C61+C62+C63</f>
        <v>0</v>
      </c>
      <c r="D58" s="28">
        <f>+D59+D60+D61+D62+D63</f>
        <v>0</v>
      </c>
      <c r="E58" s="28">
        <f>+E59+E60+E61+E62+E63</f>
        <v>0</v>
      </c>
      <c r="F58" s="1551" t="str">
        <f t="shared" si="0"/>
        <v>-</v>
      </c>
      <c r="G58" s="110">
        <f>+G59+G60+G61+G62+G63</f>
        <v>0</v>
      </c>
      <c r="H58" s="111">
        <f>+H59+H60+H61+H62+H63</f>
        <v>0</v>
      </c>
      <c r="I58" s="112">
        <f>+I59+I60+I61+I62+I63</f>
        <v>0</v>
      </c>
      <c r="K58" s="3">
        <f t="shared" si="1"/>
        <v>0</v>
      </c>
    </row>
    <row r="59" spans="1:11" ht="12.75" customHeight="1">
      <c r="A59" s="892" t="s">
        <v>66</v>
      </c>
      <c r="B59" s="113" t="s">
        <v>121</v>
      </c>
      <c r="C59" s="1104"/>
      <c r="D59" s="10"/>
      <c r="E59" s="10"/>
      <c r="F59" s="1552" t="str">
        <f t="shared" si="0"/>
        <v>-</v>
      </c>
      <c r="G59" s="114"/>
      <c r="H59" s="115"/>
      <c r="I59" s="116"/>
      <c r="K59" s="4">
        <f t="shared" si="1"/>
        <v>0</v>
      </c>
    </row>
    <row r="60" spans="1:11" ht="12.75" customHeight="1">
      <c r="A60" s="896" t="s">
        <v>67</v>
      </c>
      <c r="B60" s="897" t="s">
        <v>122</v>
      </c>
      <c r="C60" s="1106"/>
      <c r="D60" s="11"/>
      <c r="E60" s="11"/>
      <c r="F60" s="1553" t="str">
        <f t="shared" si="0"/>
        <v>-</v>
      </c>
      <c r="G60" s="866"/>
      <c r="H60" s="867"/>
      <c r="I60" s="868"/>
      <c r="K60" s="4">
        <f t="shared" si="1"/>
        <v>0</v>
      </c>
    </row>
    <row r="61" spans="1:11" ht="12.75" customHeight="1">
      <c r="A61" s="896" t="s">
        <v>68</v>
      </c>
      <c r="B61" s="897" t="s">
        <v>123</v>
      </c>
      <c r="C61" s="1106"/>
      <c r="D61" s="11"/>
      <c r="E61" s="11"/>
      <c r="F61" s="1553" t="str">
        <f t="shared" si="0"/>
        <v>-</v>
      </c>
      <c r="G61" s="866"/>
      <c r="H61" s="867"/>
      <c r="I61" s="868"/>
      <c r="K61" s="4">
        <f t="shared" si="1"/>
        <v>0</v>
      </c>
    </row>
    <row r="62" spans="1:11" ht="12.75" customHeight="1">
      <c r="A62" s="896" t="s">
        <v>230</v>
      </c>
      <c r="B62" s="897" t="s">
        <v>124</v>
      </c>
      <c r="C62" s="1106"/>
      <c r="D62" s="11"/>
      <c r="E62" s="11"/>
      <c r="F62" s="1553" t="str">
        <f t="shared" si="0"/>
        <v>-</v>
      </c>
      <c r="G62" s="866"/>
      <c r="H62" s="867"/>
      <c r="I62" s="868"/>
      <c r="K62" s="4">
        <f t="shared" si="1"/>
        <v>0</v>
      </c>
    </row>
    <row r="63" spans="1:11" ht="12.75" customHeight="1" thickBot="1">
      <c r="A63" s="898" t="s">
        <v>231</v>
      </c>
      <c r="B63" s="899" t="s">
        <v>125</v>
      </c>
      <c r="C63" s="1107"/>
      <c r="D63" s="22"/>
      <c r="E63" s="22"/>
      <c r="F63" s="1555" t="str">
        <f t="shared" si="0"/>
        <v>-</v>
      </c>
      <c r="G63" s="869"/>
      <c r="H63" s="870"/>
      <c r="I63" s="871"/>
      <c r="K63" s="4">
        <f t="shared" si="1"/>
        <v>0</v>
      </c>
    </row>
    <row r="64" spans="1:11" s="119" customFormat="1" ht="12.75" thickBot="1">
      <c r="A64" s="884" t="s">
        <v>12</v>
      </c>
      <c r="B64" s="891" t="s">
        <v>911</v>
      </c>
      <c r="C64" s="1103">
        <f>+C65+C66+C67+C68+C69</f>
        <v>0</v>
      </c>
      <c r="D64" s="28">
        <f>+D65+D66+D67+D68+D69</f>
        <v>0</v>
      </c>
      <c r="E64" s="28">
        <f>+E65+E66+E67+E68+E69</f>
        <v>0</v>
      </c>
      <c r="F64" s="1551" t="str">
        <f t="shared" si="0"/>
        <v>-</v>
      </c>
      <c r="G64" s="110">
        <f>+G65+G66+G67+G68+G69</f>
        <v>0</v>
      </c>
      <c r="H64" s="111">
        <f>+H65+H66+H67+H68+H69</f>
        <v>0</v>
      </c>
      <c r="I64" s="112">
        <f>+I65+I66+I67+I68+I69</f>
        <v>0</v>
      </c>
      <c r="K64" s="3">
        <f t="shared" si="1"/>
        <v>0</v>
      </c>
    </row>
    <row r="65" spans="1:11">
      <c r="A65" s="892" t="s">
        <v>69</v>
      </c>
      <c r="B65" s="113" t="s">
        <v>126</v>
      </c>
      <c r="C65" s="1104"/>
      <c r="D65" s="10"/>
      <c r="E65" s="10"/>
      <c r="F65" s="1552" t="str">
        <f t="shared" si="0"/>
        <v>-</v>
      </c>
      <c r="G65" s="114"/>
      <c r="H65" s="115"/>
      <c r="I65" s="116"/>
      <c r="K65" s="4">
        <f t="shared" si="1"/>
        <v>0</v>
      </c>
    </row>
    <row r="66" spans="1:11">
      <c r="A66" s="892" t="s">
        <v>70</v>
      </c>
      <c r="B66" s="113" t="s">
        <v>912</v>
      </c>
      <c r="C66" s="1104"/>
      <c r="D66" s="10"/>
      <c r="E66" s="10"/>
      <c r="F66" s="1552" t="str">
        <f t="shared" si="0"/>
        <v>-</v>
      </c>
      <c r="G66" s="114"/>
      <c r="H66" s="115"/>
      <c r="I66" s="116"/>
      <c r="K66" s="4">
        <f t="shared" si="1"/>
        <v>0</v>
      </c>
    </row>
    <row r="67" spans="1:11">
      <c r="A67" s="892" t="s">
        <v>71</v>
      </c>
      <c r="B67" s="113" t="s">
        <v>913</v>
      </c>
      <c r="C67" s="1104"/>
      <c r="D67" s="10"/>
      <c r="E67" s="10"/>
      <c r="F67" s="1552" t="str">
        <f t="shared" si="0"/>
        <v>-</v>
      </c>
      <c r="G67" s="114"/>
      <c r="H67" s="115"/>
      <c r="I67" s="116"/>
      <c r="K67" s="4">
        <f t="shared" si="1"/>
        <v>0</v>
      </c>
    </row>
    <row r="68" spans="1:11">
      <c r="A68" s="896" t="s">
        <v>72</v>
      </c>
      <c r="B68" s="897" t="s">
        <v>909</v>
      </c>
      <c r="C68" s="1106"/>
      <c r="D68" s="11"/>
      <c r="E68" s="11"/>
      <c r="F68" s="1553" t="str">
        <f t="shared" si="0"/>
        <v>-</v>
      </c>
      <c r="G68" s="866"/>
      <c r="H68" s="867"/>
      <c r="I68" s="868"/>
      <c r="K68" s="4">
        <f t="shared" si="1"/>
        <v>0</v>
      </c>
    </row>
    <row r="69" spans="1:11" ht="12.75" thickBot="1">
      <c r="A69" s="898" t="s">
        <v>908</v>
      </c>
      <c r="B69" s="899" t="s">
        <v>910</v>
      </c>
      <c r="C69" s="1107"/>
      <c r="D69" s="22"/>
      <c r="E69" s="22"/>
      <c r="F69" s="1555" t="str">
        <f t="shared" si="0"/>
        <v>-</v>
      </c>
      <c r="G69" s="869"/>
      <c r="H69" s="870"/>
      <c r="I69" s="871"/>
      <c r="K69" s="4">
        <f t="shared" si="1"/>
        <v>0</v>
      </c>
    </row>
    <row r="70" spans="1:11" s="119" customFormat="1" ht="12.75" thickBot="1">
      <c r="A70" s="884" t="s">
        <v>11</v>
      </c>
      <c r="B70" s="905" t="s">
        <v>303</v>
      </c>
      <c r="C70" s="1103">
        <f>+C10+C50</f>
        <v>38524</v>
      </c>
      <c r="D70" s="28">
        <f>+D10+D50</f>
        <v>56680</v>
      </c>
      <c r="E70" s="28">
        <f>+E10+E50</f>
        <v>52462</v>
      </c>
      <c r="F70" s="1551">
        <f t="shared" si="0"/>
        <v>0.92558221594918844</v>
      </c>
      <c r="G70" s="110">
        <f>+G10+G50</f>
        <v>19718</v>
      </c>
      <c r="H70" s="111">
        <f>+H10+H50</f>
        <v>26222</v>
      </c>
      <c r="I70" s="112">
        <f>+I10+I50</f>
        <v>6522</v>
      </c>
      <c r="K70" s="3">
        <f t="shared" si="1"/>
        <v>0</v>
      </c>
    </row>
    <row r="71" spans="1:11" s="119" customFormat="1" ht="12.75" thickBot="1">
      <c r="A71" s="884" t="s">
        <v>10</v>
      </c>
      <c r="B71" s="906" t="s">
        <v>304</v>
      </c>
      <c r="C71" s="1103">
        <f>+C72</f>
        <v>346784</v>
      </c>
      <c r="D71" s="28">
        <f>+D72</f>
        <v>368655</v>
      </c>
      <c r="E71" s="28">
        <f>+E72</f>
        <v>386377</v>
      </c>
      <c r="F71" s="1551">
        <f t="shared" si="0"/>
        <v>1.0480720456795649</v>
      </c>
      <c r="G71" s="110">
        <f>+G72</f>
        <v>382041</v>
      </c>
      <c r="H71" s="111">
        <f>+H72</f>
        <v>3646</v>
      </c>
      <c r="I71" s="112">
        <f>+I72</f>
        <v>690</v>
      </c>
      <c r="K71" s="3">
        <f t="shared" si="1"/>
        <v>0</v>
      </c>
    </row>
    <row r="72" spans="1:11" s="119" customFormat="1" ht="12.75" thickBot="1">
      <c r="A72" s="884" t="s">
        <v>9</v>
      </c>
      <c r="B72" s="891" t="s">
        <v>920</v>
      </c>
      <c r="C72" s="1103">
        <f>+C73+C83+C84+C85</f>
        <v>346784</v>
      </c>
      <c r="D72" s="28">
        <f>+D73+D83+D84+D85</f>
        <v>368655</v>
      </c>
      <c r="E72" s="28">
        <f>+E73+E83+E84+E85</f>
        <v>386377</v>
      </c>
      <c r="F72" s="1551">
        <f t="shared" si="0"/>
        <v>1.0480720456795649</v>
      </c>
      <c r="G72" s="110">
        <f>+G73+G83+G84+G85</f>
        <v>382041</v>
      </c>
      <c r="H72" s="111">
        <f>+H73+H83+H84+H85</f>
        <v>3646</v>
      </c>
      <c r="I72" s="112">
        <f>+I73+I83+I84+I85</f>
        <v>690</v>
      </c>
      <c r="K72" s="3">
        <f t="shared" si="1"/>
        <v>0</v>
      </c>
    </row>
    <row r="73" spans="1:11">
      <c r="A73" s="892" t="s">
        <v>73</v>
      </c>
      <c r="B73" s="113" t="s">
        <v>915</v>
      </c>
      <c r="C73" s="1104">
        <f>+C74+C75+C76+C77+C78+C79+C80+C81+C82</f>
        <v>346784</v>
      </c>
      <c r="D73" s="10">
        <f>+D74+D75+D76+D77+D78+D79+D80+D81+D82</f>
        <v>368655</v>
      </c>
      <c r="E73" s="10">
        <f>+E74+E75+E76+E77+E78+E79+E80+E81+E82</f>
        <v>386377</v>
      </c>
      <c r="F73" s="1552">
        <f t="shared" si="0"/>
        <v>1.0480720456795649</v>
      </c>
      <c r="G73" s="114">
        <f>+G74+G75+G76+G77+G78+G79+G80+G81+G82</f>
        <v>382041</v>
      </c>
      <c r="H73" s="115">
        <f>+H74+H75+H76+H77+H78+H79+H80+H81+H82</f>
        <v>3646</v>
      </c>
      <c r="I73" s="116">
        <f>+I74+I75+I76+I77+I78+I79+I80+I81+I82</f>
        <v>690</v>
      </c>
      <c r="K73" s="4">
        <f t="shared" si="1"/>
        <v>0</v>
      </c>
    </row>
    <row r="74" spans="1:11" s="117" customFormat="1">
      <c r="A74" s="108" t="s">
        <v>196</v>
      </c>
      <c r="B74" s="109" t="s">
        <v>914</v>
      </c>
      <c r="C74" s="1105"/>
      <c r="D74" s="12"/>
      <c r="E74" s="12"/>
      <c r="F74" s="1553" t="str">
        <f t="shared" ref="F74:F102" si="2">IF(ISERROR(E74/D74),"-",E74/D74)</f>
        <v>-</v>
      </c>
      <c r="G74" s="656"/>
      <c r="H74" s="657"/>
      <c r="I74" s="658"/>
      <c r="K74" s="13">
        <f t="shared" ref="K74:K102" si="3">+E74-G74-H74-I74</f>
        <v>0</v>
      </c>
    </row>
    <row r="75" spans="1:11" s="117" customFormat="1">
      <c r="A75" s="108" t="s">
        <v>197</v>
      </c>
      <c r="B75" s="109" t="s">
        <v>247</v>
      </c>
      <c r="C75" s="1105"/>
      <c r="D75" s="12"/>
      <c r="E75" s="12"/>
      <c r="F75" s="1553" t="str">
        <f t="shared" si="2"/>
        <v>-</v>
      </c>
      <c r="G75" s="656"/>
      <c r="H75" s="657"/>
      <c r="I75" s="658"/>
      <c r="K75" s="13">
        <f t="shared" si="3"/>
        <v>0</v>
      </c>
    </row>
    <row r="76" spans="1:11" s="117" customFormat="1">
      <c r="A76" s="108" t="s">
        <v>198</v>
      </c>
      <c r="B76" s="109" t="s">
        <v>248</v>
      </c>
      <c r="C76" s="1105"/>
      <c r="D76" s="12">
        <v>53635</v>
      </c>
      <c r="E76" s="12">
        <v>53635</v>
      </c>
      <c r="F76" s="1553">
        <f t="shared" si="2"/>
        <v>1</v>
      </c>
      <c r="G76" s="656">
        <v>53635</v>
      </c>
      <c r="H76" s="657"/>
      <c r="I76" s="658"/>
      <c r="K76" s="13">
        <f t="shared" si="3"/>
        <v>0</v>
      </c>
    </row>
    <row r="77" spans="1:11" s="117" customFormat="1">
      <c r="A77" s="108" t="s">
        <v>199</v>
      </c>
      <c r="B77" s="109" t="s">
        <v>249</v>
      </c>
      <c r="C77" s="1105"/>
      <c r="D77" s="12"/>
      <c r="E77" s="12"/>
      <c r="F77" s="1553" t="str">
        <f t="shared" si="2"/>
        <v>-</v>
      </c>
      <c r="G77" s="656"/>
      <c r="H77" s="657"/>
      <c r="I77" s="658"/>
      <c r="K77" s="13">
        <f t="shared" si="3"/>
        <v>0</v>
      </c>
    </row>
    <row r="78" spans="1:11" s="117" customFormat="1">
      <c r="A78" s="108" t="s">
        <v>200</v>
      </c>
      <c r="B78" s="109" t="s">
        <v>250</v>
      </c>
      <c r="C78" s="1105"/>
      <c r="D78" s="12"/>
      <c r="E78" s="12"/>
      <c r="F78" s="1553" t="str">
        <f t="shared" si="2"/>
        <v>-</v>
      </c>
      <c r="G78" s="656"/>
      <c r="H78" s="657"/>
      <c r="I78" s="658"/>
      <c r="K78" s="13">
        <f t="shared" si="3"/>
        <v>0</v>
      </c>
    </row>
    <row r="79" spans="1:11" s="117" customFormat="1">
      <c r="A79" s="108" t="s">
        <v>201</v>
      </c>
      <c r="B79" s="109" t="s">
        <v>251</v>
      </c>
      <c r="C79" s="1105">
        <f t="shared" ref="C79" si="4">+C109-C10+C178-C74-C75-C76-C77-C78-C80-C81-C83-C84-C85</f>
        <v>346784</v>
      </c>
      <c r="D79" s="12">
        <f>317468-D94</f>
        <v>315020</v>
      </c>
      <c r="E79" s="12">
        <f>335190-E94</f>
        <v>332742</v>
      </c>
      <c r="F79" s="1553">
        <f t="shared" si="2"/>
        <v>1.0562567456034537</v>
      </c>
      <c r="G79" s="656">
        <v>328406</v>
      </c>
      <c r="H79" s="657">
        <f>+H109-H10+H178-H74-H75-H76-H77-H78-H80-H81-H83-H84-H85</f>
        <v>3646</v>
      </c>
      <c r="I79" s="658">
        <f>+I109-I10+I178-I74-I75-I76-I77-I78-I80-I81-I83-I84-I85</f>
        <v>690</v>
      </c>
      <c r="K79" s="117">
        <f t="shared" si="3"/>
        <v>0</v>
      </c>
    </row>
    <row r="80" spans="1:11" s="117" customFormat="1">
      <c r="A80" s="108" t="s">
        <v>204</v>
      </c>
      <c r="B80" s="109" t="s">
        <v>252</v>
      </c>
      <c r="C80" s="1105"/>
      <c r="D80" s="12"/>
      <c r="E80" s="12"/>
      <c r="F80" s="1553" t="str">
        <f t="shared" si="2"/>
        <v>-</v>
      </c>
      <c r="G80" s="656"/>
      <c r="H80" s="657"/>
      <c r="I80" s="658"/>
      <c r="K80" s="117">
        <f t="shared" si="3"/>
        <v>0</v>
      </c>
    </row>
    <row r="81" spans="1:11" s="117" customFormat="1">
      <c r="A81" s="108" t="s">
        <v>202</v>
      </c>
      <c r="B81" s="109" t="s">
        <v>245</v>
      </c>
      <c r="C81" s="1105"/>
      <c r="D81" s="12"/>
      <c r="E81" s="12"/>
      <c r="F81" s="1553" t="str">
        <f t="shared" si="2"/>
        <v>-</v>
      </c>
      <c r="G81" s="656"/>
      <c r="H81" s="657"/>
      <c r="I81" s="658"/>
      <c r="K81" s="117">
        <f t="shared" si="3"/>
        <v>0</v>
      </c>
    </row>
    <row r="82" spans="1:11" s="117" customFormat="1">
      <c r="A82" s="108" t="s">
        <v>916</v>
      </c>
      <c r="B82" s="109" t="s">
        <v>917</v>
      </c>
      <c r="C82" s="1105"/>
      <c r="D82" s="12"/>
      <c r="E82" s="12"/>
      <c r="F82" s="1553" t="str">
        <f t="shared" si="2"/>
        <v>-</v>
      </c>
      <c r="G82" s="656"/>
      <c r="H82" s="657"/>
      <c r="I82" s="658"/>
      <c r="K82" s="117">
        <f t="shared" si="3"/>
        <v>0</v>
      </c>
    </row>
    <row r="83" spans="1:11">
      <c r="A83" s="896" t="s">
        <v>74</v>
      </c>
      <c r="B83" s="897" t="s">
        <v>243</v>
      </c>
      <c r="C83" s="1106"/>
      <c r="D83" s="11"/>
      <c r="E83" s="11"/>
      <c r="F83" s="1553" t="str">
        <f t="shared" si="2"/>
        <v>-</v>
      </c>
      <c r="G83" s="866"/>
      <c r="H83" s="867"/>
      <c r="I83" s="868"/>
      <c r="K83" s="118">
        <f t="shared" si="3"/>
        <v>0</v>
      </c>
    </row>
    <row r="84" spans="1:11">
      <c r="A84" s="898" t="s">
        <v>203</v>
      </c>
      <c r="B84" s="899" t="s">
        <v>244</v>
      </c>
      <c r="C84" s="1107"/>
      <c r="D84" s="22"/>
      <c r="E84" s="22"/>
      <c r="F84" s="1555" t="str">
        <f t="shared" si="2"/>
        <v>-</v>
      </c>
      <c r="G84" s="869"/>
      <c r="H84" s="870"/>
      <c r="I84" s="871"/>
      <c r="K84" s="118">
        <f t="shared" si="3"/>
        <v>0</v>
      </c>
    </row>
    <row r="85" spans="1:11" ht="12.75" thickBot="1">
      <c r="A85" s="898" t="s">
        <v>918</v>
      </c>
      <c r="B85" s="899" t="s">
        <v>919</v>
      </c>
      <c r="C85" s="1107"/>
      <c r="D85" s="22"/>
      <c r="E85" s="22"/>
      <c r="F85" s="1555" t="str">
        <f t="shared" si="2"/>
        <v>-</v>
      </c>
      <c r="G85" s="869"/>
      <c r="H85" s="870"/>
      <c r="I85" s="871"/>
      <c r="K85" s="118">
        <f t="shared" si="3"/>
        <v>0</v>
      </c>
    </row>
    <row r="86" spans="1:11" s="119" customFormat="1" ht="12.75" thickBot="1">
      <c r="A86" s="884" t="s">
        <v>45</v>
      </c>
      <c r="B86" s="906" t="s">
        <v>305</v>
      </c>
      <c r="C86" s="1103">
        <f>+C87</f>
        <v>0</v>
      </c>
      <c r="D86" s="28">
        <f>+D87</f>
        <v>2448</v>
      </c>
      <c r="E86" s="28">
        <f>+E87</f>
        <v>2448</v>
      </c>
      <c r="F86" s="1551">
        <f t="shared" si="2"/>
        <v>1</v>
      </c>
      <c r="G86" s="110">
        <f>+G87</f>
        <v>2444</v>
      </c>
      <c r="H86" s="111">
        <f>+H87</f>
        <v>4</v>
      </c>
      <c r="I86" s="112">
        <f>+I87</f>
        <v>0</v>
      </c>
      <c r="K86" s="119">
        <f t="shared" si="3"/>
        <v>0</v>
      </c>
    </row>
    <row r="87" spans="1:11" s="119" customFormat="1" ht="12.75" thickBot="1">
      <c r="A87" s="884" t="s">
        <v>44</v>
      </c>
      <c r="B87" s="891" t="s">
        <v>922</v>
      </c>
      <c r="C87" s="1103">
        <f>+C88+C98+C99+C100</f>
        <v>0</v>
      </c>
      <c r="D87" s="28">
        <f>+D88+D98+D99+D100</f>
        <v>2448</v>
      </c>
      <c r="E87" s="28">
        <f>+E88+E98+E99+E100</f>
        <v>2448</v>
      </c>
      <c r="F87" s="1551">
        <f t="shared" si="2"/>
        <v>1</v>
      </c>
      <c r="G87" s="110">
        <f>+G88+G98+G99+G100</f>
        <v>2444</v>
      </c>
      <c r="H87" s="111">
        <f>+H88+H98+H99+H100</f>
        <v>4</v>
      </c>
      <c r="I87" s="112">
        <f>+I88+I98+I99+I100</f>
        <v>0</v>
      </c>
      <c r="K87" s="119">
        <f t="shared" si="3"/>
        <v>0</v>
      </c>
    </row>
    <row r="88" spans="1:11">
      <c r="A88" s="892" t="s">
        <v>232</v>
      </c>
      <c r="B88" s="113" t="s">
        <v>977</v>
      </c>
      <c r="C88" s="1104">
        <f>+C89+C90+C91+C92+C93+C94+C95+C96+C97</f>
        <v>0</v>
      </c>
      <c r="D88" s="10">
        <f>+D89+D90+D91+D92+D93+D94+D95+D96+D97</f>
        <v>2448</v>
      </c>
      <c r="E88" s="10">
        <f>+E89+E90+E91+E92+E93+E94+E95+E96+E97</f>
        <v>2448</v>
      </c>
      <c r="F88" s="1552">
        <f t="shared" si="2"/>
        <v>1</v>
      </c>
      <c r="G88" s="114">
        <f>+G89+G90+G91+G92+G93+G94+G95+G96+G97</f>
        <v>2444</v>
      </c>
      <c r="H88" s="115">
        <f>+H89+H90+H91+H92+H93+H94+H95+H96+H97</f>
        <v>4</v>
      </c>
      <c r="I88" s="116">
        <f>+I89+I90+I91+I92+I93+I94+I95+I96+I97</f>
        <v>0</v>
      </c>
      <c r="K88" s="118">
        <f t="shared" si="3"/>
        <v>0</v>
      </c>
    </row>
    <row r="89" spans="1:11" s="117" customFormat="1">
      <c r="A89" s="108" t="s">
        <v>233</v>
      </c>
      <c r="B89" s="109" t="s">
        <v>914</v>
      </c>
      <c r="C89" s="1105"/>
      <c r="D89" s="12"/>
      <c r="E89" s="12"/>
      <c r="F89" s="1553" t="str">
        <f t="shared" si="2"/>
        <v>-</v>
      </c>
      <c r="G89" s="656"/>
      <c r="H89" s="657"/>
      <c r="I89" s="658"/>
      <c r="K89" s="117">
        <f t="shared" si="3"/>
        <v>0</v>
      </c>
    </row>
    <row r="90" spans="1:11" s="117" customFormat="1">
      <c r="A90" s="108" t="s">
        <v>234</v>
      </c>
      <c r="B90" s="109" t="s">
        <v>247</v>
      </c>
      <c r="C90" s="1105"/>
      <c r="D90" s="12"/>
      <c r="E90" s="12"/>
      <c r="F90" s="1553" t="str">
        <f t="shared" si="2"/>
        <v>-</v>
      </c>
      <c r="G90" s="656"/>
      <c r="H90" s="657"/>
      <c r="I90" s="658"/>
      <c r="K90" s="117">
        <f t="shared" si="3"/>
        <v>0</v>
      </c>
    </row>
    <row r="91" spans="1:11" s="117" customFormat="1">
      <c r="A91" s="108" t="s">
        <v>235</v>
      </c>
      <c r="B91" s="109" t="s">
        <v>248</v>
      </c>
      <c r="C91" s="1105"/>
      <c r="D91" s="12"/>
      <c r="E91" s="12"/>
      <c r="F91" s="1553" t="str">
        <f t="shared" si="2"/>
        <v>-</v>
      </c>
      <c r="G91" s="656"/>
      <c r="H91" s="657"/>
      <c r="I91" s="658"/>
      <c r="K91" s="117">
        <f t="shared" si="3"/>
        <v>0</v>
      </c>
    </row>
    <row r="92" spans="1:11" s="117" customFormat="1">
      <c r="A92" s="108" t="s">
        <v>236</v>
      </c>
      <c r="B92" s="109" t="s">
        <v>249</v>
      </c>
      <c r="C92" s="1105"/>
      <c r="D92" s="12"/>
      <c r="E92" s="12"/>
      <c r="F92" s="1553" t="str">
        <f t="shared" si="2"/>
        <v>-</v>
      </c>
      <c r="G92" s="656"/>
      <c r="H92" s="657"/>
      <c r="I92" s="658"/>
      <c r="K92" s="117">
        <f t="shared" si="3"/>
        <v>0</v>
      </c>
    </row>
    <row r="93" spans="1:11" s="117" customFormat="1">
      <c r="A93" s="108" t="s">
        <v>237</v>
      </c>
      <c r="B93" s="109" t="s">
        <v>250</v>
      </c>
      <c r="C93" s="1105"/>
      <c r="D93" s="12"/>
      <c r="E93" s="12"/>
      <c r="F93" s="1553" t="str">
        <f t="shared" si="2"/>
        <v>-</v>
      </c>
      <c r="G93" s="656"/>
      <c r="H93" s="657"/>
      <c r="I93" s="658"/>
      <c r="K93" s="117">
        <f t="shared" si="3"/>
        <v>0</v>
      </c>
    </row>
    <row r="94" spans="1:11" s="117" customFormat="1">
      <c r="A94" s="108" t="s">
        <v>238</v>
      </c>
      <c r="B94" s="109" t="s">
        <v>251</v>
      </c>
      <c r="C94" s="1105">
        <f t="shared" ref="C94:E94" si="5">+C149-C50+C192-C89-C90-C91-C92-C93-C95-C96-C98-C99-C100</f>
        <v>0</v>
      </c>
      <c r="D94" s="12">
        <f t="shared" si="5"/>
        <v>2448</v>
      </c>
      <c r="E94" s="12">
        <f t="shared" si="5"/>
        <v>2448</v>
      </c>
      <c r="F94" s="1554">
        <f t="shared" si="2"/>
        <v>1</v>
      </c>
      <c r="G94" s="656">
        <f>+G149-G50+G192-G89-G90-G91-G92-G93-G95-G96-G98-G99-G100</f>
        <v>2444</v>
      </c>
      <c r="H94" s="657">
        <f>+H149-H50+H192-H89-H90-H91-H92-H93-H95-H96-H98-H99-H100</f>
        <v>4</v>
      </c>
      <c r="I94" s="658">
        <f>+I149-I50+I192-I89-I90-I91-I92-I93-I95-I96-I98-I99-I100</f>
        <v>0</v>
      </c>
      <c r="K94" s="117">
        <f t="shared" si="3"/>
        <v>0</v>
      </c>
    </row>
    <row r="95" spans="1:11" s="117" customFormat="1">
      <c r="A95" s="108" t="s">
        <v>239</v>
      </c>
      <c r="B95" s="109" t="s">
        <v>252</v>
      </c>
      <c r="C95" s="1105"/>
      <c r="D95" s="12"/>
      <c r="E95" s="12"/>
      <c r="F95" s="1553" t="str">
        <f t="shared" si="2"/>
        <v>-</v>
      </c>
      <c r="G95" s="656"/>
      <c r="H95" s="657"/>
      <c r="I95" s="658"/>
      <c r="K95" s="13">
        <f t="shared" si="3"/>
        <v>0</v>
      </c>
    </row>
    <row r="96" spans="1:11" s="117" customFormat="1">
      <c r="A96" s="108" t="s">
        <v>240</v>
      </c>
      <c r="B96" s="109" t="s">
        <v>245</v>
      </c>
      <c r="C96" s="1105"/>
      <c r="D96" s="12"/>
      <c r="E96" s="12"/>
      <c r="F96" s="1553" t="str">
        <f t="shared" si="2"/>
        <v>-</v>
      </c>
      <c r="G96" s="656"/>
      <c r="H96" s="657"/>
      <c r="I96" s="658"/>
      <c r="K96" s="13">
        <f t="shared" si="3"/>
        <v>0</v>
      </c>
    </row>
    <row r="97" spans="1:11" s="117" customFormat="1">
      <c r="A97" s="108" t="s">
        <v>921</v>
      </c>
      <c r="B97" s="109" t="s">
        <v>917</v>
      </c>
      <c r="C97" s="1105"/>
      <c r="D97" s="12"/>
      <c r="E97" s="12"/>
      <c r="F97" s="1553" t="str">
        <f t="shared" si="2"/>
        <v>-</v>
      </c>
      <c r="G97" s="656"/>
      <c r="H97" s="657"/>
      <c r="I97" s="658"/>
      <c r="K97" s="13">
        <f t="shared" si="3"/>
        <v>0</v>
      </c>
    </row>
    <row r="98" spans="1:11">
      <c r="A98" s="896" t="s">
        <v>241</v>
      </c>
      <c r="B98" s="897" t="s">
        <v>243</v>
      </c>
      <c r="C98" s="1106"/>
      <c r="D98" s="11"/>
      <c r="E98" s="11"/>
      <c r="F98" s="1553" t="str">
        <f t="shared" si="2"/>
        <v>-</v>
      </c>
      <c r="G98" s="866"/>
      <c r="H98" s="867"/>
      <c r="I98" s="868"/>
      <c r="K98" s="4">
        <f t="shared" si="3"/>
        <v>0</v>
      </c>
    </row>
    <row r="99" spans="1:11">
      <c r="A99" s="898" t="s">
        <v>242</v>
      </c>
      <c r="B99" s="899" t="s">
        <v>244</v>
      </c>
      <c r="C99" s="1107"/>
      <c r="D99" s="22"/>
      <c r="E99" s="22"/>
      <c r="F99" s="1555" t="str">
        <f t="shared" si="2"/>
        <v>-</v>
      </c>
      <c r="G99" s="869"/>
      <c r="H99" s="870"/>
      <c r="I99" s="871"/>
      <c r="K99" s="4">
        <f t="shared" si="3"/>
        <v>0</v>
      </c>
    </row>
    <row r="100" spans="1:11" ht="12.75" thickBot="1">
      <c r="A100" s="898" t="s">
        <v>923</v>
      </c>
      <c r="B100" s="899" t="s">
        <v>919</v>
      </c>
      <c r="C100" s="1107"/>
      <c r="D100" s="22"/>
      <c r="E100" s="22"/>
      <c r="F100" s="1555" t="str">
        <f t="shared" si="2"/>
        <v>-</v>
      </c>
      <c r="G100" s="869"/>
      <c r="H100" s="870"/>
      <c r="I100" s="871"/>
      <c r="K100" s="4">
        <f t="shared" si="3"/>
        <v>0</v>
      </c>
    </row>
    <row r="101" spans="1:11" s="119" customFormat="1" ht="12.75" thickBot="1">
      <c r="A101" s="884" t="s">
        <v>43</v>
      </c>
      <c r="B101" s="905" t="s">
        <v>306</v>
      </c>
      <c r="C101" s="1103">
        <f>+C71+C86</f>
        <v>346784</v>
      </c>
      <c r="D101" s="28">
        <f>+D71+D86</f>
        <v>371103</v>
      </c>
      <c r="E101" s="28">
        <f>+E71+E86</f>
        <v>388825</v>
      </c>
      <c r="F101" s="1551">
        <f t="shared" si="2"/>
        <v>1.0477549359611753</v>
      </c>
      <c r="G101" s="110">
        <f>+G71+G86</f>
        <v>384485</v>
      </c>
      <c r="H101" s="111">
        <f>+H71+H86</f>
        <v>3650</v>
      </c>
      <c r="I101" s="112">
        <f>+I71+I86</f>
        <v>690</v>
      </c>
      <c r="K101" s="3">
        <f t="shared" si="3"/>
        <v>0</v>
      </c>
    </row>
    <row r="102" spans="1:11" s="119" customFormat="1" ht="12.75" thickBot="1">
      <c r="A102" s="907" t="s">
        <v>40</v>
      </c>
      <c r="B102" s="908" t="s">
        <v>307</v>
      </c>
      <c r="C102" s="1109">
        <f>+C70+C101</f>
        <v>385308</v>
      </c>
      <c r="D102" s="25">
        <f>+D70+D101</f>
        <v>427783</v>
      </c>
      <c r="E102" s="25">
        <f>+E70+E101</f>
        <v>441287</v>
      </c>
      <c r="F102" s="1556">
        <f t="shared" si="2"/>
        <v>1.0315674068394489</v>
      </c>
      <c r="G102" s="909">
        <f>+G70+G101</f>
        <v>404203</v>
      </c>
      <c r="H102" s="910">
        <f>+H70+H101</f>
        <v>29872</v>
      </c>
      <c r="I102" s="911">
        <f>+I70+I101</f>
        <v>7212</v>
      </c>
      <c r="K102" s="3">
        <f t="shared" si="3"/>
        <v>0</v>
      </c>
    </row>
    <row r="103" spans="1:11" s="119" customFormat="1">
      <c r="A103" s="912"/>
      <c r="B103" s="913"/>
      <c r="C103" s="30"/>
      <c r="D103" s="30"/>
      <c r="E103" s="30"/>
      <c r="F103" s="1548"/>
      <c r="G103" s="913"/>
      <c r="H103" s="913"/>
      <c r="I103" s="913"/>
      <c r="K103" s="3"/>
    </row>
    <row r="104" spans="1:11" s="119" customFormat="1">
      <c r="A104" s="912"/>
      <c r="B104" s="913"/>
      <c r="C104" s="30"/>
      <c r="D104" s="30"/>
      <c r="E104" s="30"/>
      <c r="F104" s="1557"/>
      <c r="G104" s="913"/>
      <c r="H104" s="913"/>
      <c r="I104" s="913"/>
      <c r="K104" s="3"/>
    </row>
    <row r="105" spans="1:11" s="874" customFormat="1" ht="15.75">
      <c r="A105" s="1794" t="s">
        <v>80</v>
      </c>
      <c r="B105" s="1794"/>
      <c r="C105" s="1794"/>
      <c r="D105" s="1794"/>
      <c r="E105" s="1794"/>
      <c r="F105" s="1794"/>
      <c r="G105" s="1794"/>
      <c r="H105" s="1794"/>
      <c r="I105" s="1794"/>
      <c r="K105" s="52"/>
    </row>
    <row r="106" spans="1:11" s="876" customFormat="1" ht="12.75" thickBot="1">
      <c r="A106" s="875" t="s">
        <v>279</v>
      </c>
      <c r="C106" s="36"/>
      <c r="D106" s="36"/>
      <c r="E106" s="36"/>
      <c r="F106" s="1548"/>
      <c r="I106" s="877" t="s">
        <v>281</v>
      </c>
      <c r="K106" s="36"/>
    </row>
    <row r="107" spans="1:11" s="119" customFormat="1" ht="48.75" thickBot="1">
      <c r="A107" s="878" t="s">
        <v>17</v>
      </c>
      <c r="B107" s="914" t="s">
        <v>329</v>
      </c>
      <c r="C107" s="1572" t="s">
        <v>1553</v>
      </c>
      <c r="D107" s="1571" t="s">
        <v>1554</v>
      </c>
      <c r="E107" s="6" t="s">
        <v>2646</v>
      </c>
      <c r="F107" s="1549" t="s">
        <v>2645</v>
      </c>
      <c r="G107" s="5" t="s">
        <v>51</v>
      </c>
      <c r="H107" s="6" t="s">
        <v>52</v>
      </c>
      <c r="I107" s="7" t="s">
        <v>53</v>
      </c>
      <c r="K107" s="3"/>
    </row>
    <row r="108" spans="1:11" s="119" customFormat="1" ht="13.5" customHeight="1" thickBot="1">
      <c r="A108" s="915" t="s">
        <v>253</v>
      </c>
      <c r="B108" s="916" t="s">
        <v>254</v>
      </c>
      <c r="C108" s="1795" t="s">
        <v>255</v>
      </c>
      <c r="D108" s="1796"/>
      <c r="E108" s="1796"/>
      <c r="F108" s="1796"/>
      <c r="G108" s="1796"/>
      <c r="H108" s="1796"/>
      <c r="I108" s="1797"/>
      <c r="K108" s="3"/>
    </row>
    <row r="109" spans="1:11" s="119" customFormat="1" ht="12.75" thickBot="1">
      <c r="A109" s="884" t="s">
        <v>4</v>
      </c>
      <c r="B109" s="905" t="s">
        <v>308</v>
      </c>
      <c r="C109" s="1103">
        <f>+C110+C114+C116+C123+C132</f>
        <v>385308</v>
      </c>
      <c r="D109" s="28">
        <f>+D110+D114+D116+D123+D132</f>
        <v>425335</v>
      </c>
      <c r="E109" s="28">
        <f>+E110+E114+E116+E123+E132</f>
        <v>416208</v>
      </c>
      <c r="F109" s="1558">
        <f t="shared" ref="F109:F172" si="6">IF(ISERROR(E109/D109),"-",E109/D109)</f>
        <v>0.97854162013471735</v>
      </c>
      <c r="G109" s="110">
        <f>+G110+G114+G116+G123+G132</f>
        <v>379128</v>
      </c>
      <c r="H109" s="111">
        <f>+H110+H114+H116+H123+H132</f>
        <v>29868</v>
      </c>
      <c r="I109" s="112">
        <f>+I110+I114+I116+I123+I132</f>
        <v>7212</v>
      </c>
      <c r="K109" s="3">
        <f t="shared" ref="K109:K172" si="7">+E109-G109-H109-I109</f>
        <v>0</v>
      </c>
    </row>
    <row r="110" spans="1:11" s="119" customFormat="1" ht="12.75" thickBot="1">
      <c r="A110" s="884" t="s">
        <v>5</v>
      </c>
      <c r="B110" s="891" t="s">
        <v>309</v>
      </c>
      <c r="C110" s="1103">
        <f>+C112+C113</f>
        <v>272433</v>
      </c>
      <c r="D110" s="28">
        <f>+D112+D113</f>
        <v>292094</v>
      </c>
      <c r="E110" s="28">
        <f>+E112+E113</f>
        <v>292070</v>
      </c>
      <c r="F110" s="1558">
        <f t="shared" si="6"/>
        <v>0.99991783466966111</v>
      </c>
      <c r="G110" s="110">
        <f>+G112+G113</f>
        <v>278861</v>
      </c>
      <c r="H110" s="111">
        <f>+H112+H113</f>
        <v>7432</v>
      </c>
      <c r="I110" s="112">
        <f>+I112+I113</f>
        <v>5777</v>
      </c>
      <c r="K110" s="3">
        <f t="shared" si="7"/>
        <v>0</v>
      </c>
    </row>
    <row r="111" spans="1:11" s="876" customFormat="1">
      <c r="A111" s="917" t="s">
        <v>349</v>
      </c>
      <c r="B111" s="918" t="s">
        <v>350</v>
      </c>
      <c r="C111" s="1110"/>
      <c r="D111" s="97">
        <v>18037</v>
      </c>
      <c r="E111" s="97">
        <v>18037</v>
      </c>
      <c r="F111" s="1559">
        <f t="shared" si="6"/>
        <v>1</v>
      </c>
      <c r="G111" s="919">
        <v>18037</v>
      </c>
      <c r="H111" s="920"/>
      <c r="I111" s="921"/>
      <c r="K111" s="36">
        <f t="shared" si="7"/>
        <v>0</v>
      </c>
    </row>
    <row r="112" spans="1:11">
      <c r="A112" s="892" t="s">
        <v>54</v>
      </c>
      <c r="B112" s="113" t="s">
        <v>127</v>
      </c>
      <c r="C112" s="1104">
        <v>270893</v>
      </c>
      <c r="D112" s="10">
        <v>285609</v>
      </c>
      <c r="E112" s="10">
        <v>285609</v>
      </c>
      <c r="F112" s="1560">
        <f t="shared" si="6"/>
        <v>1</v>
      </c>
      <c r="G112" s="114">
        <v>275657</v>
      </c>
      <c r="H112" s="115">
        <v>7432</v>
      </c>
      <c r="I112" s="116">
        <v>2520</v>
      </c>
      <c r="K112" s="4">
        <f t="shared" si="7"/>
        <v>0</v>
      </c>
    </row>
    <row r="113" spans="1:11" ht="12.75" thickBot="1">
      <c r="A113" s="898" t="s">
        <v>55</v>
      </c>
      <c r="B113" s="899" t="s">
        <v>128</v>
      </c>
      <c r="C113" s="1107">
        <v>1540</v>
      </c>
      <c r="D113" s="22">
        <v>6485</v>
      </c>
      <c r="E113" s="22">
        <v>6461</v>
      </c>
      <c r="F113" s="1561">
        <f t="shared" si="6"/>
        <v>0.99629915188897455</v>
      </c>
      <c r="G113" s="869">
        <v>3204</v>
      </c>
      <c r="H113" s="870"/>
      <c r="I113" s="871">
        <v>3257</v>
      </c>
      <c r="K113" s="4">
        <f t="shared" si="7"/>
        <v>0</v>
      </c>
    </row>
    <row r="114" spans="1:11" s="119" customFormat="1" ht="12.75" thickBot="1">
      <c r="A114" s="884" t="s">
        <v>6</v>
      </c>
      <c r="B114" s="891" t="s">
        <v>256</v>
      </c>
      <c r="C114" s="1103">
        <v>54811</v>
      </c>
      <c r="D114" s="28">
        <v>59847</v>
      </c>
      <c r="E114" s="28">
        <v>59847</v>
      </c>
      <c r="F114" s="1558">
        <f t="shared" si="6"/>
        <v>1</v>
      </c>
      <c r="G114" s="110">
        <v>57366</v>
      </c>
      <c r="H114" s="111">
        <v>1320</v>
      </c>
      <c r="I114" s="112">
        <v>1161</v>
      </c>
      <c r="K114" s="3">
        <f t="shared" si="7"/>
        <v>0</v>
      </c>
    </row>
    <row r="115" spans="1:11" s="876" customFormat="1" ht="12.75" thickBot="1">
      <c r="A115" s="917" t="s">
        <v>346</v>
      </c>
      <c r="B115" s="918" t="s">
        <v>347</v>
      </c>
      <c r="C115" s="1110"/>
      <c r="D115" s="97">
        <v>3049</v>
      </c>
      <c r="E115" s="97">
        <v>3049</v>
      </c>
      <c r="F115" s="1559">
        <f t="shared" si="6"/>
        <v>1</v>
      </c>
      <c r="G115" s="919">
        <v>3049</v>
      </c>
      <c r="H115" s="920"/>
      <c r="I115" s="921"/>
      <c r="K115" s="36">
        <f t="shared" si="7"/>
        <v>0</v>
      </c>
    </row>
    <row r="116" spans="1:11" s="119" customFormat="1" ht="12.75" thickBot="1">
      <c r="A116" s="884" t="s">
        <v>3</v>
      </c>
      <c r="B116" s="891" t="s">
        <v>343</v>
      </c>
      <c r="C116" s="1103">
        <f>+C118+C119+C120+C121+C122</f>
        <v>58064</v>
      </c>
      <c r="D116" s="28">
        <f>+D118+D119+D120+D121+D122</f>
        <v>71409</v>
      </c>
      <c r="E116" s="28">
        <f>+E118+E119+E120+E121+E122</f>
        <v>62306</v>
      </c>
      <c r="F116" s="1558">
        <f t="shared" si="6"/>
        <v>0.87252307132154205</v>
      </c>
      <c r="G116" s="110">
        <f>+G118+G119+G120+G121+G122</f>
        <v>40916</v>
      </c>
      <c r="H116" s="111">
        <f>+H118+H119+H120+H121+H122</f>
        <v>21116</v>
      </c>
      <c r="I116" s="112">
        <f>+I118+I119+I120+I121+I122</f>
        <v>274</v>
      </c>
      <c r="K116" s="3">
        <f t="shared" si="7"/>
        <v>0</v>
      </c>
    </row>
    <row r="117" spans="1:11" s="876" customFormat="1" ht="13.5" customHeight="1">
      <c r="A117" s="917" t="s">
        <v>341</v>
      </c>
      <c r="B117" s="918" t="s">
        <v>348</v>
      </c>
      <c r="C117" s="1110"/>
      <c r="D117" s="97">
        <v>11282</v>
      </c>
      <c r="E117" s="97">
        <v>11282</v>
      </c>
      <c r="F117" s="1559">
        <f t="shared" si="6"/>
        <v>1</v>
      </c>
      <c r="G117" s="919">
        <v>11282</v>
      </c>
      <c r="H117" s="920"/>
      <c r="I117" s="921"/>
      <c r="K117" s="36">
        <f t="shared" si="7"/>
        <v>0</v>
      </c>
    </row>
    <row r="118" spans="1:11">
      <c r="A118" s="892" t="s">
        <v>61</v>
      </c>
      <c r="B118" s="113" t="s">
        <v>129</v>
      </c>
      <c r="C118" s="1117">
        <v>19864</v>
      </c>
      <c r="D118" s="114">
        <v>24959</v>
      </c>
      <c r="E118" s="10">
        <v>20163</v>
      </c>
      <c r="F118" s="1560">
        <f t="shared" si="6"/>
        <v>0.80784486557955049</v>
      </c>
      <c r="G118" s="114">
        <v>4732</v>
      </c>
      <c r="H118" s="115">
        <v>15308</v>
      </c>
      <c r="I118" s="116">
        <v>123</v>
      </c>
      <c r="K118" s="4">
        <f t="shared" si="7"/>
        <v>0</v>
      </c>
    </row>
    <row r="119" spans="1:11">
      <c r="A119" s="896" t="s">
        <v>62</v>
      </c>
      <c r="B119" s="897" t="s">
        <v>130</v>
      </c>
      <c r="C119" s="926">
        <v>7037</v>
      </c>
      <c r="D119" s="866">
        <f>3895+1</f>
        <v>3896</v>
      </c>
      <c r="E119" s="11">
        <f>3855+1</f>
        <v>3856</v>
      </c>
      <c r="F119" s="1562">
        <f t="shared" si="6"/>
        <v>0.98973305954825463</v>
      </c>
      <c r="G119" s="866">
        <v>3848</v>
      </c>
      <c r="H119" s="867">
        <v>8</v>
      </c>
      <c r="I119" s="868"/>
      <c r="K119" s="4">
        <f t="shared" si="7"/>
        <v>0</v>
      </c>
    </row>
    <row r="120" spans="1:11">
      <c r="A120" s="896" t="s">
        <v>63</v>
      </c>
      <c r="B120" s="897" t="s">
        <v>131</v>
      </c>
      <c r="C120" s="926">
        <v>16060</v>
      </c>
      <c r="D120" s="866">
        <v>29255</v>
      </c>
      <c r="E120" s="11">
        <v>26473</v>
      </c>
      <c r="F120" s="1562">
        <f t="shared" si="6"/>
        <v>0.90490514441975733</v>
      </c>
      <c r="G120" s="866">
        <v>24263</v>
      </c>
      <c r="H120" s="867">
        <v>2208</v>
      </c>
      <c r="I120" s="868">
        <v>2</v>
      </c>
      <c r="K120" s="4">
        <f t="shared" si="7"/>
        <v>0</v>
      </c>
    </row>
    <row r="121" spans="1:11">
      <c r="A121" s="896" t="s">
        <v>64</v>
      </c>
      <c r="B121" s="897" t="s">
        <v>132</v>
      </c>
      <c r="C121" s="926">
        <v>200</v>
      </c>
      <c r="D121" s="866">
        <v>79</v>
      </c>
      <c r="E121" s="11">
        <v>79</v>
      </c>
      <c r="F121" s="1562">
        <f t="shared" si="6"/>
        <v>1</v>
      </c>
      <c r="G121" s="866">
        <v>79</v>
      </c>
      <c r="H121" s="867"/>
      <c r="I121" s="868"/>
      <c r="K121" s="4">
        <f t="shared" si="7"/>
        <v>0</v>
      </c>
    </row>
    <row r="122" spans="1:11" ht="12.75" thickBot="1">
      <c r="A122" s="898" t="s">
        <v>65</v>
      </c>
      <c r="B122" s="899" t="s">
        <v>133</v>
      </c>
      <c r="C122" s="928">
        <v>14903</v>
      </c>
      <c r="D122" s="934">
        <v>13220</v>
      </c>
      <c r="E122" s="17">
        <v>11735</v>
      </c>
      <c r="F122" s="1561">
        <f t="shared" si="6"/>
        <v>0.88767019667170954</v>
      </c>
      <c r="G122" s="869">
        <v>7994</v>
      </c>
      <c r="H122" s="870">
        <v>3592</v>
      </c>
      <c r="I122" s="871">
        <v>149</v>
      </c>
      <c r="K122" s="4">
        <f t="shared" si="7"/>
        <v>0</v>
      </c>
    </row>
    <row r="123" spans="1:11" s="119" customFormat="1" ht="12.75" thickBot="1">
      <c r="A123" s="884" t="s">
        <v>16</v>
      </c>
      <c r="B123" s="891" t="s">
        <v>310</v>
      </c>
      <c r="C123" s="1103">
        <f>+C124+C125+C126+C127+C128+C129+C130+C131</f>
        <v>0</v>
      </c>
      <c r="D123" s="28">
        <f>+D124+D125+D126+D127+D128+D129+D130+D131</f>
        <v>0</v>
      </c>
      <c r="E123" s="28">
        <f>+E124+E125+E126+E127+E128+E129+E130+E131</f>
        <v>0</v>
      </c>
      <c r="F123" s="1558" t="str">
        <f t="shared" si="6"/>
        <v>-</v>
      </c>
      <c r="G123" s="110">
        <f>+G124+G125+G126+G127+G128+G129+G130+G131</f>
        <v>0</v>
      </c>
      <c r="H123" s="111">
        <f>+H124+H125+H126+H127+H128+H129+H130+H131</f>
        <v>0</v>
      </c>
      <c r="I123" s="112">
        <f>+I124+I125+I126+I127+I128+I129+I130+I131</f>
        <v>0</v>
      </c>
      <c r="K123" s="3">
        <f t="shared" si="7"/>
        <v>0</v>
      </c>
    </row>
    <row r="124" spans="1:11">
      <c r="A124" s="892" t="s">
        <v>227</v>
      </c>
      <c r="B124" s="113" t="s">
        <v>134</v>
      </c>
      <c r="C124" s="1104"/>
      <c r="D124" s="10"/>
      <c r="E124" s="10"/>
      <c r="F124" s="1560" t="str">
        <f t="shared" si="6"/>
        <v>-</v>
      </c>
      <c r="G124" s="114"/>
      <c r="H124" s="115"/>
      <c r="I124" s="116"/>
      <c r="K124" s="4">
        <f t="shared" si="7"/>
        <v>0</v>
      </c>
    </row>
    <row r="125" spans="1:11">
      <c r="A125" s="896" t="s">
        <v>228</v>
      </c>
      <c r="B125" s="897" t="s">
        <v>135</v>
      </c>
      <c r="C125" s="1106"/>
      <c r="D125" s="11"/>
      <c r="E125" s="11"/>
      <c r="F125" s="1562" t="str">
        <f t="shared" si="6"/>
        <v>-</v>
      </c>
      <c r="G125" s="866"/>
      <c r="H125" s="867"/>
      <c r="I125" s="868"/>
      <c r="K125" s="4">
        <f t="shared" si="7"/>
        <v>0</v>
      </c>
    </row>
    <row r="126" spans="1:11">
      <c r="A126" s="896" t="s">
        <v>229</v>
      </c>
      <c r="B126" s="897" t="s">
        <v>136</v>
      </c>
      <c r="C126" s="1106"/>
      <c r="D126" s="11"/>
      <c r="E126" s="11"/>
      <c r="F126" s="1562" t="str">
        <f t="shared" si="6"/>
        <v>-</v>
      </c>
      <c r="G126" s="866"/>
      <c r="H126" s="867"/>
      <c r="I126" s="868"/>
      <c r="K126" s="4">
        <f t="shared" si="7"/>
        <v>0</v>
      </c>
    </row>
    <row r="127" spans="1:11">
      <c r="A127" s="896" t="s">
        <v>257</v>
      </c>
      <c r="B127" s="897" t="s">
        <v>137</v>
      </c>
      <c r="C127" s="1106"/>
      <c r="D127" s="11"/>
      <c r="E127" s="11"/>
      <c r="F127" s="1562" t="str">
        <f t="shared" si="6"/>
        <v>-</v>
      </c>
      <c r="G127" s="866"/>
      <c r="H127" s="867"/>
      <c r="I127" s="868"/>
      <c r="K127" s="4">
        <f t="shared" si="7"/>
        <v>0</v>
      </c>
    </row>
    <row r="128" spans="1:11">
      <c r="A128" s="896" t="s">
        <v>258</v>
      </c>
      <c r="B128" s="897" t="s">
        <v>138</v>
      </c>
      <c r="C128" s="1106"/>
      <c r="D128" s="11"/>
      <c r="E128" s="11"/>
      <c r="F128" s="1562" t="str">
        <f t="shared" si="6"/>
        <v>-</v>
      </c>
      <c r="G128" s="866"/>
      <c r="H128" s="867"/>
      <c r="I128" s="868"/>
      <c r="K128" s="4">
        <f t="shared" si="7"/>
        <v>0</v>
      </c>
    </row>
    <row r="129" spans="1:11">
      <c r="A129" s="896" t="s">
        <v>259</v>
      </c>
      <c r="B129" s="897" t="s">
        <v>139</v>
      </c>
      <c r="C129" s="1106"/>
      <c r="D129" s="11"/>
      <c r="E129" s="11"/>
      <c r="F129" s="1562" t="str">
        <f t="shared" si="6"/>
        <v>-</v>
      </c>
      <c r="G129" s="866"/>
      <c r="H129" s="867"/>
      <c r="I129" s="868"/>
      <c r="K129" s="4">
        <f t="shared" si="7"/>
        <v>0</v>
      </c>
    </row>
    <row r="130" spans="1:11">
      <c r="A130" s="896" t="s">
        <v>260</v>
      </c>
      <c r="B130" s="897" t="s">
        <v>140</v>
      </c>
      <c r="C130" s="1106"/>
      <c r="D130" s="11"/>
      <c r="E130" s="11"/>
      <c r="F130" s="1562" t="str">
        <f t="shared" si="6"/>
        <v>-</v>
      </c>
      <c r="G130" s="866"/>
      <c r="H130" s="867"/>
      <c r="I130" s="868"/>
      <c r="K130" s="4">
        <f t="shared" si="7"/>
        <v>0</v>
      </c>
    </row>
    <row r="131" spans="1:11" ht="12.75" thickBot="1">
      <c r="A131" s="898" t="s">
        <v>261</v>
      </c>
      <c r="B131" s="899" t="s">
        <v>141</v>
      </c>
      <c r="C131" s="1107"/>
      <c r="D131" s="22"/>
      <c r="E131" s="22"/>
      <c r="F131" s="1561" t="str">
        <f t="shared" si="6"/>
        <v>-</v>
      </c>
      <c r="G131" s="869"/>
      <c r="H131" s="870"/>
      <c r="I131" s="871"/>
      <c r="K131" s="4">
        <f t="shared" si="7"/>
        <v>0</v>
      </c>
    </row>
    <row r="132" spans="1:11" s="119" customFormat="1" ht="12.75" thickBot="1">
      <c r="A132" s="884" t="s">
        <v>15</v>
      </c>
      <c r="B132" s="891" t="s">
        <v>927</v>
      </c>
      <c r="C132" s="1103">
        <f>+C133+C134+C135+C136+C137+C138+C140+C141+C142+C143+C144+C145+C146</f>
        <v>0</v>
      </c>
      <c r="D132" s="28">
        <f>+D133+D134+D135+D136+D137+D138+D140+D141+D142+D143+D144+D145+D146</f>
        <v>1985</v>
      </c>
      <c r="E132" s="28">
        <f>+E133+E134+E135+E136+E137+E138+E140+E141+E142+E143+E144+E145+E146</f>
        <v>1985</v>
      </c>
      <c r="F132" s="1558">
        <f t="shared" si="6"/>
        <v>1</v>
      </c>
      <c r="G132" s="110">
        <f>+G133+G134+G135+G136+G137+G138+G140+G141+G142+G143+G144+G145+G146</f>
        <v>1985</v>
      </c>
      <c r="H132" s="111">
        <f>+H133+H134+H135+H136+H137+H138+H140+H141+H142+H143+H144+H145+H146</f>
        <v>0</v>
      </c>
      <c r="I132" s="112">
        <f>+I133+I134+I135+I136+I137+I138+I140+I141+I142+I143+I144+I145+I146</f>
        <v>0</v>
      </c>
      <c r="K132" s="3">
        <f t="shared" si="7"/>
        <v>0</v>
      </c>
    </row>
    <row r="133" spans="1:11">
      <c r="A133" s="892" t="s">
        <v>87</v>
      </c>
      <c r="B133" s="113" t="s">
        <v>142</v>
      </c>
      <c r="C133" s="1104"/>
      <c r="D133" s="10"/>
      <c r="E133" s="10"/>
      <c r="F133" s="1560" t="str">
        <f t="shared" si="6"/>
        <v>-</v>
      </c>
      <c r="G133" s="114"/>
      <c r="H133" s="115"/>
      <c r="I133" s="116"/>
      <c r="K133" s="4">
        <f t="shared" si="7"/>
        <v>0</v>
      </c>
    </row>
    <row r="134" spans="1:11">
      <c r="A134" s="896" t="s">
        <v>88</v>
      </c>
      <c r="B134" s="897" t="s">
        <v>143</v>
      </c>
      <c r="C134" s="1106"/>
      <c r="D134" s="11">
        <v>1985</v>
      </c>
      <c r="E134" s="11">
        <v>1985</v>
      </c>
      <c r="F134" s="1562">
        <f t="shared" si="6"/>
        <v>1</v>
      </c>
      <c r="G134" s="866">
        <v>1985</v>
      </c>
      <c r="H134" s="867"/>
      <c r="I134" s="868"/>
      <c r="K134" s="4">
        <f t="shared" si="7"/>
        <v>0</v>
      </c>
    </row>
    <row r="135" spans="1:11">
      <c r="A135" s="896" t="s">
        <v>182</v>
      </c>
      <c r="B135" s="897" t="s">
        <v>144</v>
      </c>
      <c r="C135" s="1106"/>
      <c r="D135" s="11"/>
      <c r="E135" s="11"/>
      <c r="F135" s="1562" t="str">
        <f t="shared" si="6"/>
        <v>-</v>
      </c>
      <c r="G135" s="866"/>
      <c r="H135" s="867"/>
      <c r="I135" s="868"/>
      <c r="K135" s="4">
        <f t="shared" si="7"/>
        <v>0</v>
      </c>
    </row>
    <row r="136" spans="1:11">
      <c r="A136" s="896" t="s">
        <v>183</v>
      </c>
      <c r="B136" s="897" t="s">
        <v>145</v>
      </c>
      <c r="C136" s="1106"/>
      <c r="D136" s="11"/>
      <c r="E136" s="11"/>
      <c r="F136" s="1562" t="str">
        <f t="shared" si="6"/>
        <v>-</v>
      </c>
      <c r="G136" s="866"/>
      <c r="H136" s="867"/>
      <c r="I136" s="868"/>
      <c r="K136" s="4">
        <f t="shared" si="7"/>
        <v>0</v>
      </c>
    </row>
    <row r="137" spans="1:11">
      <c r="A137" s="896" t="s">
        <v>184</v>
      </c>
      <c r="B137" s="897" t="s">
        <v>146</v>
      </c>
      <c r="C137" s="1106"/>
      <c r="D137" s="11"/>
      <c r="E137" s="11"/>
      <c r="F137" s="1562" t="str">
        <f t="shared" si="6"/>
        <v>-</v>
      </c>
      <c r="G137" s="866"/>
      <c r="H137" s="867"/>
      <c r="I137" s="868"/>
      <c r="K137" s="4">
        <f t="shared" si="7"/>
        <v>0</v>
      </c>
    </row>
    <row r="138" spans="1:11">
      <c r="A138" s="896" t="s">
        <v>262</v>
      </c>
      <c r="B138" s="897" t="s">
        <v>147</v>
      </c>
      <c r="C138" s="1106"/>
      <c r="D138" s="11"/>
      <c r="E138" s="11"/>
      <c r="F138" s="1562" t="str">
        <f t="shared" si="6"/>
        <v>-</v>
      </c>
      <c r="G138" s="866"/>
      <c r="H138" s="867"/>
      <c r="I138" s="868"/>
      <c r="K138" s="4">
        <f t="shared" si="7"/>
        <v>0</v>
      </c>
    </row>
    <row r="139" spans="1:11" s="117" customFormat="1">
      <c r="A139" s="900" t="s">
        <v>336</v>
      </c>
      <c r="B139" s="901" t="s">
        <v>933</v>
      </c>
      <c r="C139" s="1108"/>
      <c r="D139" s="43"/>
      <c r="E139" s="43"/>
      <c r="F139" s="1561" t="str">
        <f t="shared" si="6"/>
        <v>-</v>
      </c>
      <c r="G139" s="902"/>
      <c r="H139" s="903"/>
      <c r="I139" s="904"/>
      <c r="K139" s="13">
        <f t="shared" si="7"/>
        <v>0</v>
      </c>
    </row>
    <row r="140" spans="1:11">
      <c r="A140" s="896" t="s">
        <v>263</v>
      </c>
      <c r="B140" s="897" t="s">
        <v>148</v>
      </c>
      <c r="C140" s="1106"/>
      <c r="D140" s="11"/>
      <c r="E140" s="11"/>
      <c r="F140" s="1562" t="str">
        <f t="shared" si="6"/>
        <v>-</v>
      </c>
      <c r="G140" s="866"/>
      <c r="H140" s="867"/>
      <c r="I140" s="868"/>
      <c r="K140" s="4">
        <f t="shared" si="7"/>
        <v>0</v>
      </c>
    </row>
    <row r="141" spans="1:11">
      <c r="A141" s="896" t="s">
        <v>264</v>
      </c>
      <c r="B141" s="897" t="s">
        <v>149</v>
      </c>
      <c r="C141" s="1106"/>
      <c r="D141" s="11"/>
      <c r="E141" s="11"/>
      <c r="F141" s="1562" t="str">
        <f t="shared" si="6"/>
        <v>-</v>
      </c>
      <c r="G141" s="866"/>
      <c r="H141" s="867"/>
      <c r="I141" s="868"/>
      <c r="K141" s="4">
        <f t="shared" si="7"/>
        <v>0</v>
      </c>
    </row>
    <row r="142" spans="1:11">
      <c r="A142" s="896" t="s">
        <v>265</v>
      </c>
      <c r="B142" s="897" t="s">
        <v>150</v>
      </c>
      <c r="C142" s="1106"/>
      <c r="D142" s="11"/>
      <c r="E142" s="11"/>
      <c r="F142" s="1562" t="str">
        <f t="shared" si="6"/>
        <v>-</v>
      </c>
      <c r="G142" s="866"/>
      <c r="H142" s="867"/>
      <c r="I142" s="868"/>
      <c r="K142" s="4">
        <f t="shared" si="7"/>
        <v>0</v>
      </c>
    </row>
    <row r="143" spans="1:11">
      <c r="A143" s="896" t="s">
        <v>266</v>
      </c>
      <c r="B143" s="897" t="s">
        <v>151</v>
      </c>
      <c r="C143" s="1106"/>
      <c r="D143" s="11"/>
      <c r="E143" s="11"/>
      <c r="F143" s="1562" t="str">
        <f t="shared" si="6"/>
        <v>-</v>
      </c>
      <c r="G143" s="866"/>
      <c r="H143" s="867"/>
      <c r="I143" s="868"/>
      <c r="K143" s="4">
        <f t="shared" si="7"/>
        <v>0</v>
      </c>
    </row>
    <row r="144" spans="1:11">
      <c r="A144" s="896" t="s">
        <v>267</v>
      </c>
      <c r="B144" s="897" t="s">
        <v>928</v>
      </c>
      <c r="C144" s="1106"/>
      <c r="D144" s="11"/>
      <c r="E144" s="11"/>
      <c r="F144" s="1562" t="str">
        <f t="shared" si="6"/>
        <v>-</v>
      </c>
      <c r="G144" s="866"/>
      <c r="H144" s="867"/>
      <c r="I144" s="868"/>
      <c r="K144" s="4">
        <f t="shared" si="7"/>
        <v>0</v>
      </c>
    </row>
    <row r="145" spans="1:11">
      <c r="A145" s="896" t="s">
        <v>268</v>
      </c>
      <c r="B145" s="897" t="s">
        <v>929</v>
      </c>
      <c r="C145" s="1106"/>
      <c r="D145" s="11"/>
      <c r="E145" s="11"/>
      <c r="F145" s="1562" t="str">
        <f t="shared" si="6"/>
        <v>-</v>
      </c>
      <c r="G145" s="866"/>
      <c r="H145" s="867"/>
      <c r="I145" s="868"/>
      <c r="K145" s="4">
        <f t="shared" si="7"/>
        <v>0</v>
      </c>
    </row>
    <row r="146" spans="1:11">
      <c r="A146" s="898" t="s">
        <v>924</v>
      </c>
      <c r="B146" s="899" t="s">
        <v>930</v>
      </c>
      <c r="C146" s="1107">
        <f>+C147+C148</f>
        <v>0</v>
      </c>
      <c r="D146" s="22">
        <f>+D147+D148</f>
        <v>0</v>
      </c>
      <c r="E146" s="22">
        <f>+E147+E148</f>
        <v>0</v>
      </c>
      <c r="F146" s="1561" t="str">
        <f t="shared" si="6"/>
        <v>-</v>
      </c>
      <c r="G146" s="869">
        <f>+G147+G148</f>
        <v>0</v>
      </c>
      <c r="H146" s="870">
        <f>+H147+H148</f>
        <v>0</v>
      </c>
      <c r="I146" s="871">
        <f>+I147+I148</f>
        <v>0</v>
      </c>
      <c r="K146" s="4">
        <f t="shared" si="7"/>
        <v>0</v>
      </c>
    </row>
    <row r="147" spans="1:11" s="117" customFormat="1">
      <c r="A147" s="900" t="s">
        <v>925</v>
      </c>
      <c r="B147" s="922" t="s">
        <v>931</v>
      </c>
      <c r="C147" s="1108"/>
      <c r="D147" s="43"/>
      <c r="E147" s="43"/>
      <c r="F147" s="1561" t="str">
        <f t="shared" si="6"/>
        <v>-</v>
      </c>
      <c r="G147" s="902"/>
      <c r="H147" s="903"/>
      <c r="I147" s="904"/>
      <c r="K147" s="13">
        <f t="shared" si="7"/>
        <v>0</v>
      </c>
    </row>
    <row r="148" spans="1:11" s="117" customFormat="1" ht="12.75" thickBot="1">
      <c r="A148" s="900" t="s">
        <v>926</v>
      </c>
      <c r="B148" s="922" t="s">
        <v>932</v>
      </c>
      <c r="C148" s="1108"/>
      <c r="D148" s="43"/>
      <c r="E148" s="43"/>
      <c r="F148" s="1561" t="str">
        <f t="shared" si="6"/>
        <v>-</v>
      </c>
      <c r="G148" s="902"/>
      <c r="H148" s="903"/>
      <c r="I148" s="904"/>
      <c r="K148" s="13">
        <f t="shared" si="7"/>
        <v>0</v>
      </c>
    </row>
    <row r="149" spans="1:11" s="119" customFormat="1" ht="12.75" thickBot="1">
      <c r="A149" s="884" t="s">
        <v>14</v>
      </c>
      <c r="B149" s="905" t="s">
        <v>311</v>
      </c>
      <c r="C149" s="1103">
        <f>+C150+C159+C165</f>
        <v>0</v>
      </c>
      <c r="D149" s="28">
        <f>+D150+D159+D165</f>
        <v>2448</v>
      </c>
      <c r="E149" s="28">
        <f>+E150+E159+E165</f>
        <v>2448</v>
      </c>
      <c r="F149" s="1558">
        <f t="shared" si="6"/>
        <v>1</v>
      </c>
      <c r="G149" s="110">
        <f>+G150+G159+G165</f>
        <v>2444</v>
      </c>
      <c r="H149" s="111">
        <f>+H150+H159+H165</f>
        <v>4</v>
      </c>
      <c r="I149" s="112">
        <f>+I150+I159+I165</f>
        <v>0</v>
      </c>
      <c r="K149" s="3">
        <f t="shared" si="7"/>
        <v>0</v>
      </c>
    </row>
    <row r="150" spans="1:11" s="119" customFormat="1" ht="12.75" thickBot="1">
      <c r="A150" s="884" t="s">
        <v>13</v>
      </c>
      <c r="B150" s="891" t="s">
        <v>312</v>
      </c>
      <c r="C150" s="1103">
        <f>+C152+C153+C154+C155+C156+C157+C158</f>
        <v>0</v>
      </c>
      <c r="D150" s="28">
        <f>+D152+D153+D154+D155+D156+D157+D158</f>
        <v>2448</v>
      </c>
      <c r="E150" s="28">
        <f>+E152+E153+E154+E155+E156+E157+E158</f>
        <v>2448</v>
      </c>
      <c r="F150" s="1558">
        <f t="shared" si="6"/>
        <v>1</v>
      </c>
      <c r="G150" s="110">
        <f>+G152+G153+G154+G155+G156+G157+G158</f>
        <v>2444</v>
      </c>
      <c r="H150" s="111">
        <f>+H152+H153+H154+H155+H156+H157+H158</f>
        <v>4</v>
      </c>
      <c r="I150" s="112">
        <f>+I152+I153+I154+I155+I156+I157+I158</f>
        <v>0</v>
      </c>
      <c r="K150" s="3">
        <f t="shared" si="7"/>
        <v>0</v>
      </c>
    </row>
    <row r="151" spans="1:11" s="876" customFormat="1">
      <c r="A151" s="917" t="s">
        <v>934</v>
      </c>
      <c r="B151" s="918" t="s">
        <v>342</v>
      </c>
      <c r="C151" s="1110"/>
      <c r="D151" s="97"/>
      <c r="E151" s="97"/>
      <c r="F151" s="1559" t="str">
        <f t="shared" si="6"/>
        <v>-</v>
      </c>
      <c r="G151" s="919"/>
      <c r="H151" s="920"/>
      <c r="I151" s="921"/>
      <c r="K151" s="36">
        <f t="shared" si="7"/>
        <v>0</v>
      </c>
    </row>
    <row r="152" spans="1:11">
      <c r="A152" s="892" t="s">
        <v>66</v>
      </c>
      <c r="B152" s="113" t="s">
        <v>152</v>
      </c>
      <c r="C152" s="1104"/>
      <c r="D152" s="10">
        <v>265</v>
      </c>
      <c r="E152" s="10">
        <v>265</v>
      </c>
      <c r="F152" s="1560">
        <f t="shared" si="6"/>
        <v>1</v>
      </c>
      <c r="G152" s="114">
        <v>265</v>
      </c>
      <c r="H152" s="115"/>
      <c r="I152" s="116"/>
      <c r="K152" s="4">
        <f t="shared" si="7"/>
        <v>0</v>
      </c>
    </row>
    <row r="153" spans="1:11">
      <c r="A153" s="896" t="s">
        <v>67</v>
      </c>
      <c r="B153" s="897" t="s">
        <v>153</v>
      </c>
      <c r="C153" s="1106"/>
      <c r="D153" s="11"/>
      <c r="E153" s="11"/>
      <c r="F153" s="1562" t="str">
        <f t="shared" si="6"/>
        <v>-</v>
      </c>
      <c r="G153" s="866"/>
      <c r="H153" s="867"/>
      <c r="I153" s="868"/>
      <c r="K153" s="4">
        <f t="shared" si="7"/>
        <v>0</v>
      </c>
    </row>
    <row r="154" spans="1:11">
      <c r="A154" s="896" t="s">
        <v>68</v>
      </c>
      <c r="B154" s="897" t="s">
        <v>154</v>
      </c>
      <c r="C154" s="1106"/>
      <c r="D154" s="11">
        <v>507</v>
      </c>
      <c r="E154" s="11">
        <v>507</v>
      </c>
      <c r="F154" s="1562">
        <f t="shared" si="6"/>
        <v>1</v>
      </c>
      <c r="G154" s="866">
        <v>507</v>
      </c>
      <c r="H154" s="867"/>
      <c r="I154" s="868"/>
      <c r="K154" s="4">
        <f t="shared" si="7"/>
        <v>0</v>
      </c>
    </row>
    <row r="155" spans="1:11">
      <c r="A155" s="896" t="s">
        <v>230</v>
      </c>
      <c r="B155" s="897" t="s">
        <v>155</v>
      </c>
      <c r="C155" s="1106"/>
      <c r="D155" s="11">
        <v>1155</v>
      </c>
      <c r="E155" s="11">
        <v>1155</v>
      </c>
      <c r="F155" s="1562">
        <f t="shared" si="6"/>
        <v>1</v>
      </c>
      <c r="G155" s="866">
        <v>1152</v>
      </c>
      <c r="H155" s="867">
        <v>3</v>
      </c>
      <c r="I155" s="868"/>
      <c r="K155" s="4">
        <f t="shared" si="7"/>
        <v>0</v>
      </c>
    </row>
    <row r="156" spans="1:11">
      <c r="A156" s="896" t="s">
        <v>231</v>
      </c>
      <c r="B156" s="897" t="s">
        <v>156</v>
      </c>
      <c r="C156" s="1106"/>
      <c r="D156" s="11"/>
      <c r="E156" s="11"/>
      <c r="F156" s="1562" t="str">
        <f t="shared" si="6"/>
        <v>-</v>
      </c>
      <c r="G156" s="866"/>
      <c r="H156" s="867"/>
      <c r="I156" s="868"/>
      <c r="K156" s="4">
        <f t="shared" si="7"/>
        <v>0</v>
      </c>
    </row>
    <row r="157" spans="1:11">
      <c r="A157" s="896" t="s">
        <v>269</v>
      </c>
      <c r="B157" s="897" t="s">
        <v>157</v>
      </c>
      <c r="C157" s="1106"/>
      <c r="D157" s="11"/>
      <c r="E157" s="11"/>
      <c r="F157" s="1562" t="str">
        <f t="shared" si="6"/>
        <v>-</v>
      </c>
      <c r="G157" s="866"/>
      <c r="H157" s="867"/>
      <c r="I157" s="868"/>
      <c r="K157" s="4">
        <f t="shared" si="7"/>
        <v>0</v>
      </c>
    </row>
    <row r="158" spans="1:11" ht="12.75" thickBot="1">
      <c r="A158" s="898" t="s">
        <v>270</v>
      </c>
      <c r="B158" s="899" t="s">
        <v>158</v>
      </c>
      <c r="C158" s="1107"/>
      <c r="D158" s="22">
        <f>520+1</f>
        <v>521</v>
      </c>
      <c r="E158" s="22">
        <f>520+1</f>
        <v>521</v>
      </c>
      <c r="F158" s="1561">
        <f t="shared" si="6"/>
        <v>1</v>
      </c>
      <c r="G158" s="869">
        <v>520</v>
      </c>
      <c r="H158" s="870">
        <v>1</v>
      </c>
      <c r="I158" s="871"/>
      <c r="K158" s="4">
        <f t="shared" si="7"/>
        <v>0</v>
      </c>
    </row>
    <row r="159" spans="1:11" s="119" customFormat="1" ht="12.75" thickBot="1">
      <c r="A159" s="884" t="s">
        <v>12</v>
      </c>
      <c r="B159" s="891" t="s">
        <v>313</v>
      </c>
      <c r="C159" s="1103">
        <f>+C161+C162+C163+C164</f>
        <v>0</v>
      </c>
      <c r="D159" s="28">
        <f>+D161+D162+D163+D164</f>
        <v>0</v>
      </c>
      <c r="E159" s="28">
        <f>+E161+E162+E163+E164</f>
        <v>0</v>
      </c>
      <c r="F159" s="1558" t="str">
        <f t="shared" si="6"/>
        <v>-</v>
      </c>
      <c r="G159" s="110">
        <f>+G161+G162+G163+G164</f>
        <v>0</v>
      </c>
      <c r="H159" s="111">
        <f>+H161+H162+H163+H164</f>
        <v>0</v>
      </c>
      <c r="I159" s="112">
        <f>+I161+I162+I163+I164</f>
        <v>0</v>
      </c>
      <c r="K159" s="3">
        <f t="shared" si="7"/>
        <v>0</v>
      </c>
    </row>
    <row r="160" spans="1:11" s="876" customFormat="1">
      <c r="A160" s="917" t="s">
        <v>344</v>
      </c>
      <c r="B160" s="918" t="s">
        <v>345</v>
      </c>
      <c r="C160" s="1110"/>
      <c r="D160" s="97"/>
      <c r="E160" s="97"/>
      <c r="F160" s="1559" t="str">
        <f t="shared" si="6"/>
        <v>-</v>
      </c>
      <c r="G160" s="919"/>
      <c r="H160" s="920"/>
      <c r="I160" s="921"/>
      <c r="K160" s="36">
        <f t="shared" si="7"/>
        <v>0</v>
      </c>
    </row>
    <row r="161" spans="1:11">
      <c r="A161" s="892" t="s">
        <v>69</v>
      </c>
      <c r="B161" s="113" t="s">
        <v>159</v>
      </c>
      <c r="C161" s="1104"/>
      <c r="D161" s="10"/>
      <c r="E161" s="10"/>
      <c r="F161" s="1560" t="str">
        <f t="shared" si="6"/>
        <v>-</v>
      </c>
      <c r="G161" s="114"/>
      <c r="H161" s="115"/>
      <c r="I161" s="116"/>
      <c r="K161" s="4">
        <f t="shared" si="7"/>
        <v>0</v>
      </c>
    </row>
    <row r="162" spans="1:11">
      <c r="A162" s="896" t="s">
        <v>70</v>
      </c>
      <c r="B162" s="897" t="s">
        <v>160</v>
      </c>
      <c r="C162" s="1106"/>
      <c r="D162" s="11"/>
      <c r="E162" s="11"/>
      <c r="F162" s="1562" t="str">
        <f t="shared" si="6"/>
        <v>-</v>
      </c>
      <c r="G162" s="866"/>
      <c r="H162" s="867"/>
      <c r="I162" s="868"/>
      <c r="K162" s="4">
        <f t="shared" si="7"/>
        <v>0</v>
      </c>
    </row>
    <row r="163" spans="1:11">
      <c r="A163" s="896" t="s">
        <v>71</v>
      </c>
      <c r="B163" s="897" t="s">
        <v>161</v>
      </c>
      <c r="C163" s="1106"/>
      <c r="D163" s="11"/>
      <c r="E163" s="11"/>
      <c r="F163" s="1562" t="str">
        <f t="shared" si="6"/>
        <v>-</v>
      </c>
      <c r="G163" s="866"/>
      <c r="H163" s="867"/>
      <c r="I163" s="868"/>
      <c r="K163" s="4">
        <f t="shared" si="7"/>
        <v>0</v>
      </c>
    </row>
    <row r="164" spans="1:11" ht="12.75" thickBot="1">
      <c r="A164" s="898" t="s">
        <v>72</v>
      </c>
      <c r="B164" s="899" t="s">
        <v>162</v>
      </c>
      <c r="C164" s="1107"/>
      <c r="D164" s="22"/>
      <c r="E164" s="22"/>
      <c r="F164" s="1561" t="str">
        <f t="shared" si="6"/>
        <v>-</v>
      </c>
      <c r="G164" s="869"/>
      <c r="H164" s="870"/>
      <c r="I164" s="871"/>
      <c r="K164" s="4">
        <f t="shared" si="7"/>
        <v>0</v>
      </c>
    </row>
    <row r="165" spans="1:11" s="119" customFormat="1" ht="12.75" thickBot="1">
      <c r="A165" s="884" t="s">
        <v>11</v>
      </c>
      <c r="B165" s="891" t="s">
        <v>936</v>
      </c>
      <c r="C165" s="1103">
        <f>+C166+C167+C168+C169+C171+C172+C173+C174+C175</f>
        <v>0</v>
      </c>
      <c r="D165" s="28">
        <f>+D166+D167+D168+D169+D171+D172+D173+D174+D175</f>
        <v>0</v>
      </c>
      <c r="E165" s="28">
        <f>+E166+E167+E168+E169+E171+E172+E173+E174+E175</f>
        <v>0</v>
      </c>
      <c r="F165" s="1558" t="str">
        <f t="shared" si="6"/>
        <v>-</v>
      </c>
      <c r="G165" s="110">
        <f>+G166+G167+G168+G169+G171+G172+G173+G174+G175</f>
        <v>0</v>
      </c>
      <c r="H165" s="111">
        <f>+H166+H167+H168+H169+H171+H172+H173+H174+H175</f>
        <v>0</v>
      </c>
      <c r="I165" s="112">
        <f>+I166+I167+I168+I169+I171+I172+I173+I174+I175</f>
        <v>0</v>
      </c>
      <c r="K165" s="3">
        <f t="shared" si="7"/>
        <v>0</v>
      </c>
    </row>
    <row r="166" spans="1:11">
      <c r="A166" s="892" t="s">
        <v>271</v>
      </c>
      <c r="B166" s="113" t="s">
        <v>163</v>
      </c>
      <c r="C166" s="1104"/>
      <c r="D166" s="10"/>
      <c r="E166" s="10"/>
      <c r="F166" s="1560" t="str">
        <f t="shared" si="6"/>
        <v>-</v>
      </c>
      <c r="G166" s="114"/>
      <c r="H166" s="115"/>
      <c r="I166" s="116"/>
      <c r="K166" s="4">
        <f t="shared" si="7"/>
        <v>0</v>
      </c>
    </row>
    <row r="167" spans="1:11">
      <c r="A167" s="896" t="s">
        <v>272</v>
      </c>
      <c r="B167" s="897" t="s">
        <v>164</v>
      </c>
      <c r="C167" s="1106"/>
      <c r="D167" s="11"/>
      <c r="E167" s="11"/>
      <c r="F167" s="1562" t="str">
        <f t="shared" si="6"/>
        <v>-</v>
      </c>
      <c r="G167" s="866"/>
      <c r="H167" s="867"/>
      <c r="I167" s="868"/>
      <c r="K167" s="4">
        <f t="shared" si="7"/>
        <v>0</v>
      </c>
    </row>
    <row r="168" spans="1:11">
      <c r="A168" s="896" t="s">
        <v>273</v>
      </c>
      <c r="B168" s="897" t="s">
        <v>165</v>
      </c>
      <c r="C168" s="1106"/>
      <c r="D168" s="11"/>
      <c r="E168" s="11"/>
      <c r="F168" s="1562" t="str">
        <f t="shared" si="6"/>
        <v>-</v>
      </c>
      <c r="G168" s="866"/>
      <c r="H168" s="867"/>
      <c r="I168" s="868"/>
      <c r="K168" s="4">
        <f t="shared" si="7"/>
        <v>0</v>
      </c>
    </row>
    <row r="169" spans="1:11">
      <c r="A169" s="896" t="s">
        <v>274</v>
      </c>
      <c r="B169" s="897" t="s">
        <v>166</v>
      </c>
      <c r="C169" s="1106"/>
      <c r="D169" s="11"/>
      <c r="E169" s="11"/>
      <c r="F169" s="1562" t="str">
        <f t="shared" si="6"/>
        <v>-</v>
      </c>
      <c r="G169" s="866"/>
      <c r="H169" s="867"/>
      <c r="I169" s="868"/>
      <c r="K169" s="4">
        <f t="shared" si="7"/>
        <v>0</v>
      </c>
    </row>
    <row r="170" spans="1:11" s="117" customFormat="1">
      <c r="A170" s="900" t="s">
        <v>339</v>
      </c>
      <c r="B170" s="901" t="s">
        <v>340</v>
      </c>
      <c r="C170" s="1108"/>
      <c r="D170" s="43"/>
      <c r="E170" s="43"/>
      <c r="F170" s="1561" t="str">
        <f t="shared" si="6"/>
        <v>-</v>
      </c>
      <c r="G170" s="902"/>
      <c r="H170" s="903"/>
      <c r="I170" s="904"/>
      <c r="K170" s="13">
        <f t="shared" si="7"/>
        <v>0</v>
      </c>
    </row>
    <row r="171" spans="1:11">
      <c r="A171" s="896" t="s">
        <v>275</v>
      </c>
      <c r="B171" s="897" t="s">
        <v>167</v>
      </c>
      <c r="C171" s="1106"/>
      <c r="D171" s="11"/>
      <c r="E171" s="11"/>
      <c r="F171" s="1562" t="str">
        <f t="shared" si="6"/>
        <v>-</v>
      </c>
      <c r="G171" s="866"/>
      <c r="H171" s="867"/>
      <c r="I171" s="868"/>
      <c r="K171" s="4">
        <f t="shared" si="7"/>
        <v>0</v>
      </c>
    </row>
    <row r="172" spans="1:11">
      <c r="A172" s="896" t="s">
        <v>276</v>
      </c>
      <c r="B172" s="897" t="s">
        <v>168</v>
      </c>
      <c r="C172" s="1106"/>
      <c r="D172" s="11"/>
      <c r="E172" s="11"/>
      <c r="F172" s="1562" t="str">
        <f t="shared" si="6"/>
        <v>-</v>
      </c>
      <c r="G172" s="866"/>
      <c r="H172" s="867"/>
      <c r="I172" s="868"/>
      <c r="K172" s="4">
        <f t="shared" si="7"/>
        <v>0</v>
      </c>
    </row>
    <row r="173" spans="1:11">
      <c r="A173" s="896" t="s">
        <v>277</v>
      </c>
      <c r="B173" s="897" t="s">
        <v>169</v>
      </c>
      <c r="C173" s="1106"/>
      <c r="D173" s="11"/>
      <c r="E173" s="11"/>
      <c r="F173" s="1562" t="str">
        <f t="shared" ref="F173:F208" si="8">IF(ISERROR(E173/D173),"-",E173/D173)</f>
        <v>-</v>
      </c>
      <c r="G173" s="866"/>
      <c r="H173" s="867"/>
      <c r="I173" s="868"/>
      <c r="K173" s="4">
        <f t="shared" ref="K173:K208" si="9">+E173-G173-H173-I173</f>
        <v>0</v>
      </c>
    </row>
    <row r="174" spans="1:11">
      <c r="A174" s="896" t="s">
        <v>278</v>
      </c>
      <c r="B174" s="897" t="s">
        <v>937</v>
      </c>
      <c r="C174" s="1106"/>
      <c r="D174" s="11"/>
      <c r="E174" s="11"/>
      <c r="F174" s="1562" t="str">
        <f t="shared" si="8"/>
        <v>-</v>
      </c>
      <c r="G174" s="866"/>
      <c r="H174" s="867"/>
      <c r="I174" s="868"/>
      <c r="K174" s="4">
        <f t="shared" si="9"/>
        <v>0</v>
      </c>
    </row>
    <row r="175" spans="1:11" ht="12.75" thickBot="1">
      <c r="A175" s="898" t="s">
        <v>935</v>
      </c>
      <c r="B175" s="899" t="s">
        <v>938</v>
      </c>
      <c r="C175" s="1107"/>
      <c r="D175" s="22"/>
      <c r="E175" s="22"/>
      <c r="F175" s="1561" t="str">
        <f t="shared" si="8"/>
        <v>-</v>
      </c>
      <c r="G175" s="869"/>
      <c r="H175" s="870"/>
      <c r="I175" s="871"/>
      <c r="K175" s="4">
        <f t="shared" si="9"/>
        <v>0</v>
      </c>
    </row>
    <row r="176" spans="1:11" s="119" customFormat="1" ht="12.75" thickBot="1">
      <c r="A176" s="884" t="s">
        <v>10</v>
      </c>
      <c r="B176" s="905" t="s">
        <v>314</v>
      </c>
      <c r="C176" s="1103">
        <f>+C109+C149</f>
        <v>385308</v>
      </c>
      <c r="D176" s="28">
        <f>+D109+D149</f>
        <v>427783</v>
      </c>
      <c r="E176" s="28">
        <f>+E109+E149</f>
        <v>418656</v>
      </c>
      <c r="F176" s="1558">
        <f t="shared" si="8"/>
        <v>0.97866441630452827</v>
      </c>
      <c r="G176" s="110">
        <f>+G109+G149</f>
        <v>381572</v>
      </c>
      <c r="H176" s="111">
        <f>+H109+H149</f>
        <v>29872</v>
      </c>
      <c r="I176" s="112">
        <f>+I109+I149</f>
        <v>7212</v>
      </c>
      <c r="K176" s="3">
        <f t="shared" si="9"/>
        <v>0</v>
      </c>
    </row>
    <row r="177" spans="1:11" s="119" customFormat="1" ht="12.75" thickBot="1">
      <c r="A177" s="884" t="s">
        <v>9</v>
      </c>
      <c r="B177" s="906" t="s">
        <v>315</v>
      </c>
      <c r="C177" s="1103">
        <f>+C178</f>
        <v>0</v>
      </c>
      <c r="D177" s="28">
        <f>+D178</f>
        <v>0</v>
      </c>
      <c r="E177" s="28">
        <f>+E178</f>
        <v>0</v>
      </c>
      <c r="F177" s="1558" t="str">
        <f t="shared" si="8"/>
        <v>-</v>
      </c>
      <c r="G177" s="110">
        <f>+G178</f>
        <v>0</v>
      </c>
      <c r="H177" s="111">
        <f>+H178</f>
        <v>0</v>
      </c>
      <c r="I177" s="112">
        <f>+I178</f>
        <v>0</v>
      </c>
      <c r="K177" s="3">
        <f t="shared" si="9"/>
        <v>0</v>
      </c>
    </row>
    <row r="178" spans="1:11" s="119" customFormat="1" ht="12.75" thickBot="1">
      <c r="A178" s="884" t="s">
        <v>45</v>
      </c>
      <c r="B178" s="891" t="s">
        <v>945</v>
      </c>
      <c r="C178" s="1103">
        <f>+C179+C189+C190+C191</f>
        <v>0</v>
      </c>
      <c r="D178" s="28">
        <f>+D179+D189+D190+D191</f>
        <v>0</v>
      </c>
      <c r="E178" s="28">
        <f>+E179+E189+E190+E191</f>
        <v>0</v>
      </c>
      <c r="F178" s="1558" t="str">
        <f t="shared" si="8"/>
        <v>-</v>
      </c>
      <c r="G178" s="110">
        <f>+G179+G189+G190+G191</f>
        <v>0</v>
      </c>
      <c r="H178" s="111">
        <f>+H179+H189+H190+H191</f>
        <v>0</v>
      </c>
      <c r="I178" s="112">
        <f>+I179+I189+I190+I191</f>
        <v>0</v>
      </c>
      <c r="K178" s="3">
        <f t="shared" si="9"/>
        <v>0</v>
      </c>
    </row>
    <row r="179" spans="1:11">
      <c r="A179" s="892" t="s">
        <v>75</v>
      </c>
      <c r="B179" s="113" t="s">
        <v>946</v>
      </c>
      <c r="C179" s="1104">
        <f>+C180+C181+C182+C183+C184+C185+C186+C187+C188</f>
        <v>0</v>
      </c>
      <c r="D179" s="10">
        <f>+D180+D181+D182+D183+D184+D185+D186+D187+D188</f>
        <v>0</v>
      </c>
      <c r="E179" s="10">
        <f>+E180+E181+E182+E183+E184+E185+E186+E187+E188</f>
        <v>0</v>
      </c>
      <c r="F179" s="1560" t="str">
        <f t="shared" si="8"/>
        <v>-</v>
      </c>
      <c r="G179" s="114">
        <f>+G180+G181+G182+G183+G184+G185+G186+G187+G188</f>
        <v>0</v>
      </c>
      <c r="H179" s="115">
        <f>+H180+H181+H182+H183+H184+H185+H186+H187+H188</f>
        <v>0</v>
      </c>
      <c r="I179" s="116">
        <f>+I180+I181+I182+I183+I184+I185+I186+I187+I188</f>
        <v>0</v>
      </c>
      <c r="K179" s="4">
        <f t="shared" si="9"/>
        <v>0</v>
      </c>
    </row>
    <row r="180" spans="1:11" s="117" customFormat="1">
      <c r="A180" s="108" t="s">
        <v>205</v>
      </c>
      <c r="B180" s="109" t="s">
        <v>170</v>
      </c>
      <c r="C180" s="1105"/>
      <c r="D180" s="12"/>
      <c r="E180" s="12"/>
      <c r="F180" s="1562" t="str">
        <f t="shared" si="8"/>
        <v>-</v>
      </c>
      <c r="G180" s="656"/>
      <c r="H180" s="657"/>
      <c r="I180" s="658"/>
      <c r="K180" s="13">
        <f t="shared" si="9"/>
        <v>0</v>
      </c>
    </row>
    <row r="181" spans="1:11" s="117" customFormat="1">
      <c r="A181" s="108" t="s">
        <v>206</v>
      </c>
      <c r="B181" s="109" t="s">
        <v>171</v>
      </c>
      <c r="C181" s="1105"/>
      <c r="D181" s="12"/>
      <c r="E181" s="12"/>
      <c r="F181" s="1562" t="str">
        <f t="shared" si="8"/>
        <v>-</v>
      </c>
      <c r="G181" s="656"/>
      <c r="H181" s="657"/>
      <c r="I181" s="658"/>
      <c r="K181" s="13">
        <f t="shared" si="9"/>
        <v>0</v>
      </c>
    </row>
    <row r="182" spans="1:11" s="117" customFormat="1">
      <c r="A182" s="108" t="s">
        <v>207</v>
      </c>
      <c r="B182" s="109" t="s">
        <v>172</v>
      </c>
      <c r="C182" s="1105"/>
      <c r="D182" s="12"/>
      <c r="E182" s="12"/>
      <c r="F182" s="1562" t="str">
        <f t="shared" si="8"/>
        <v>-</v>
      </c>
      <c r="G182" s="656"/>
      <c r="H182" s="657"/>
      <c r="I182" s="658"/>
      <c r="K182" s="13">
        <f t="shared" si="9"/>
        <v>0</v>
      </c>
    </row>
    <row r="183" spans="1:11" s="117" customFormat="1">
      <c r="A183" s="108" t="s">
        <v>208</v>
      </c>
      <c r="B183" s="109" t="s">
        <v>173</v>
      </c>
      <c r="C183" s="1105"/>
      <c r="D183" s="12"/>
      <c r="E183" s="12"/>
      <c r="F183" s="1562" t="str">
        <f t="shared" si="8"/>
        <v>-</v>
      </c>
      <c r="G183" s="656"/>
      <c r="H183" s="657"/>
      <c r="I183" s="658"/>
      <c r="K183" s="13">
        <f t="shared" si="9"/>
        <v>0</v>
      </c>
    </row>
    <row r="184" spans="1:11" s="117" customFormat="1">
      <c r="A184" s="108" t="s">
        <v>209</v>
      </c>
      <c r="B184" s="109" t="s">
        <v>174</v>
      </c>
      <c r="C184" s="1105"/>
      <c r="D184" s="12"/>
      <c r="E184" s="12"/>
      <c r="F184" s="1569" t="str">
        <f t="shared" si="8"/>
        <v>-</v>
      </c>
      <c r="G184" s="656"/>
      <c r="H184" s="657"/>
      <c r="I184" s="658"/>
      <c r="K184" s="117">
        <f t="shared" si="9"/>
        <v>0</v>
      </c>
    </row>
    <row r="185" spans="1:11" s="117" customFormat="1">
      <c r="A185" s="108" t="s">
        <v>210</v>
      </c>
      <c r="B185" s="109" t="s">
        <v>179</v>
      </c>
      <c r="C185" s="1105"/>
      <c r="D185" s="12"/>
      <c r="E185" s="12"/>
      <c r="F185" s="1562" t="str">
        <f t="shared" si="8"/>
        <v>-</v>
      </c>
      <c r="G185" s="656"/>
      <c r="H185" s="657"/>
      <c r="I185" s="658"/>
      <c r="K185" s="13">
        <f t="shared" si="9"/>
        <v>0</v>
      </c>
    </row>
    <row r="186" spans="1:11" s="117" customFormat="1">
      <c r="A186" s="108" t="s">
        <v>211</v>
      </c>
      <c r="B186" s="109" t="s">
        <v>175</v>
      </c>
      <c r="C186" s="1105"/>
      <c r="D186" s="12"/>
      <c r="E186" s="12"/>
      <c r="F186" s="1562" t="str">
        <f t="shared" si="8"/>
        <v>-</v>
      </c>
      <c r="G186" s="656"/>
      <c r="H186" s="657"/>
      <c r="I186" s="658"/>
      <c r="K186" s="13">
        <f t="shared" si="9"/>
        <v>0</v>
      </c>
    </row>
    <row r="187" spans="1:11" s="117" customFormat="1">
      <c r="A187" s="108" t="s">
        <v>212</v>
      </c>
      <c r="B187" s="109" t="s">
        <v>176</v>
      </c>
      <c r="C187" s="1105"/>
      <c r="D187" s="12"/>
      <c r="E187" s="12"/>
      <c r="F187" s="1562" t="str">
        <f t="shared" si="8"/>
        <v>-</v>
      </c>
      <c r="G187" s="656"/>
      <c r="H187" s="657"/>
      <c r="I187" s="658"/>
      <c r="K187" s="13">
        <f t="shared" si="9"/>
        <v>0</v>
      </c>
    </row>
    <row r="188" spans="1:11" s="117" customFormat="1">
      <c r="A188" s="108" t="s">
        <v>939</v>
      </c>
      <c r="B188" s="109" t="s">
        <v>941</v>
      </c>
      <c r="C188" s="1105"/>
      <c r="D188" s="12"/>
      <c r="E188" s="12"/>
      <c r="F188" s="1562" t="str">
        <f t="shared" si="8"/>
        <v>-</v>
      </c>
      <c r="G188" s="656"/>
      <c r="H188" s="657"/>
      <c r="I188" s="658"/>
      <c r="K188" s="13">
        <f t="shared" si="9"/>
        <v>0</v>
      </c>
    </row>
    <row r="189" spans="1:11">
      <c r="A189" s="896" t="s">
        <v>76</v>
      </c>
      <c r="B189" s="897" t="s">
        <v>177</v>
      </c>
      <c r="C189" s="1106"/>
      <c r="D189" s="11"/>
      <c r="E189" s="11"/>
      <c r="F189" s="1562" t="str">
        <f t="shared" si="8"/>
        <v>-</v>
      </c>
      <c r="G189" s="866"/>
      <c r="H189" s="867"/>
      <c r="I189" s="868"/>
      <c r="K189" s="4">
        <f t="shared" si="9"/>
        <v>0</v>
      </c>
    </row>
    <row r="190" spans="1:11">
      <c r="A190" s="898" t="s">
        <v>77</v>
      </c>
      <c r="B190" s="899" t="s">
        <v>178</v>
      </c>
      <c r="C190" s="1107"/>
      <c r="D190" s="22"/>
      <c r="E190" s="22"/>
      <c r="F190" s="1561" t="str">
        <f t="shared" si="8"/>
        <v>-</v>
      </c>
      <c r="G190" s="869"/>
      <c r="H190" s="870"/>
      <c r="I190" s="871"/>
      <c r="K190" s="4">
        <f t="shared" si="9"/>
        <v>0</v>
      </c>
    </row>
    <row r="191" spans="1:11" ht="12.75" thickBot="1">
      <c r="A191" s="898" t="s">
        <v>944</v>
      </c>
      <c r="B191" s="899" t="s">
        <v>942</v>
      </c>
      <c r="C191" s="1107"/>
      <c r="D191" s="22"/>
      <c r="E191" s="22"/>
      <c r="F191" s="1561" t="str">
        <f t="shared" si="8"/>
        <v>-</v>
      </c>
      <c r="G191" s="869"/>
      <c r="H191" s="870"/>
      <c r="I191" s="871"/>
      <c r="K191" s="4">
        <f t="shared" si="9"/>
        <v>0</v>
      </c>
    </row>
    <row r="192" spans="1:11" s="119" customFormat="1" ht="12.75" thickBot="1">
      <c r="A192" s="884" t="s">
        <v>44</v>
      </c>
      <c r="B192" s="905" t="s">
        <v>316</v>
      </c>
      <c r="C192" s="1103">
        <f>+C193</f>
        <v>0</v>
      </c>
      <c r="D192" s="28">
        <f>+D193</f>
        <v>0</v>
      </c>
      <c r="E192" s="28">
        <f>+E193</f>
        <v>0</v>
      </c>
      <c r="F192" s="1558" t="str">
        <f t="shared" si="8"/>
        <v>-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9"/>
        <v>0</v>
      </c>
    </row>
    <row r="193" spans="1:11" s="119" customFormat="1" ht="12.75" thickBot="1">
      <c r="A193" s="884" t="s">
        <v>43</v>
      </c>
      <c r="B193" s="891" t="s">
        <v>940</v>
      </c>
      <c r="C193" s="1103">
        <f>+C194+C204+C205+C206</f>
        <v>0</v>
      </c>
      <c r="D193" s="28">
        <f>+D194+D204+D205+D206</f>
        <v>0</v>
      </c>
      <c r="E193" s="28">
        <f>+E194+E204+E205+E206</f>
        <v>0</v>
      </c>
      <c r="F193" s="1558" t="str">
        <f t="shared" si="8"/>
        <v>-</v>
      </c>
      <c r="G193" s="110">
        <f>+G194+G204+G205+G206</f>
        <v>0</v>
      </c>
      <c r="H193" s="111">
        <f>+H194+H204+H205+H206</f>
        <v>0</v>
      </c>
      <c r="I193" s="112">
        <f>+I194+I204+I205+I206</f>
        <v>0</v>
      </c>
      <c r="K193" s="3">
        <f t="shared" si="9"/>
        <v>0</v>
      </c>
    </row>
    <row r="194" spans="1:11">
      <c r="A194" s="892" t="s">
        <v>78</v>
      </c>
      <c r="B194" s="113" t="s">
        <v>978</v>
      </c>
      <c r="C194" s="1104">
        <f>+C195+C196+C197+C198+C199+C200+C201+C202+C203</f>
        <v>0</v>
      </c>
      <c r="D194" s="10">
        <f>+D195+D196+D197+D198+D199+D200+D201+D202+D203</f>
        <v>0</v>
      </c>
      <c r="E194" s="10">
        <f>+E195+E196+E197+E198+E199+E200+E201+E202+E203</f>
        <v>0</v>
      </c>
      <c r="F194" s="1560" t="str">
        <f t="shared" si="8"/>
        <v>-</v>
      </c>
      <c r="G194" s="114">
        <f>+G195+G196+G197+G198+G199+G200+G201+G202+G203</f>
        <v>0</v>
      </c>
      <c r="H194" s="115">
        <f>+H195+H196+H197+H198+H199+H200+H201+H202+H203</f>
        <v>0</v>
      </c>
      <c r="I194" s="116">
        <f>+I195+I196+I197+I198+I199+I200+I201+I202+I203</f>
        <v>0</v>
      </c>
      <c r="K194" s="4">
        <f t="shared" si="9"/>
        <v>0</v>
      </c>
    </row>
    <row r="195" spans="1:11" s="117" customFormat="1">
      <c r="A195" s="108" t="s">
        <v>213</v>
      </c>
      <c r="B195" s="109" t="s">
        <v>170</v>
      </c>
      <c r="C195" s="1105"/>
      <c r="D195" s="12"/>
      <c r="E195" s="12"/>
      <c r="F195" s="1562" t="str">
        <f t="shared" si="8"/>
        <v>-</v>
      </c>
      <c r="G195" s="656"/>
      <c r="H195" s="657"/>
      <c r="I195" s="658"/>
      <c r="K195" s="13">
        <f t="shared" si="9"/>
        <v>0</v>
      </c>
    </row>
    <row r="196" spans="1:11" s="117" customFormat="1">
      <c r="A196" s="108" t="s">
        <v>214</v>
      </c>
      <c r="B196" s="109" t="s">
        <v>171</v>
      </c>
      <c r="C196" s="1105"/>
      <c r="D196" s="12"/>
      <c r="E196" s="12"/>
      <c r="F196" s="1562" t="str">
        <f t="shared" si="8"/>
        <v>-</v>
      </c>
      <c r="G196" s="656"/>
      <c r="H196" s="657"/>
      <c r="I196" s="658"/>
      <c r="K196" s="13">
        <f t="shared" si="9"/>
        <v>0</v>
      </c>
    </row>
    <row r="197" spans="1:11" s="117" customFormat="1">
      <c r="A197" s="108" t="s">
        <v>215</v>
      </c>
      <c r="B197" s="109" t="s">
        <v>172</v>
      </c>
      <c r="C197" s="1105"/>
      <c r="D197" s="12"/>
      <c r="E197" s="12"/>
      <c r="F197" s="1562" t="str">
        <f t="shared" si="8"/>
        <v>-</v>
      </c>
      <c r="G197" s="656"/>
      <c r="H197" s="657"/>
      <c r="I197" s="658"/>
      <c r="K197" s="13">
        <f t="shared" si="9"/>
        <v>0</v>
      </c>
    </row>
    <row r="198" spans="1:11" s="117" customFormat="1">
      <c r="A198" s="108" t="s">
        <v>216</v>
      </c>
      <c r="B198" s="109" t="s">
        <v>173</v>
      </c>
      <c r="C198" s="1105"/>
      <c r="D198" s="12"/>
      <c r="E198" s="12"/>
      <c r="F198" s="1562" t="str">
        <f t="shared" si="8"/>
        <v>-</v>
      </c>
      <c r="G198" s="656"/>
      <c r="H198" s="657"/>
      <c r="I198" s="658"/>
      <c r="K198" s="13">
        <f t="shared" si="9"/>
        <v>0</v>
      </c>
    </row>
    <row r="199" spans="1:11" s="117" customFormat="1">
      <c r="A199" s="108" t="s">
        <v>217</v>
      </c>
      <c r="B199" s="109" t="s">
        <v>174</v>
      </c>
      <c r="C199" s="1105"/>
      <c r="D199" s="12"/>
      <c r="E199" s="12"/>
      <c r="F199" s="1569" t="str">
        <f t="shared" si="8"/>
        <v>-</v>
      </c>
      <c r="G199" s="656"/>
      <c r="H199" s="657"/>
      <c r="I199" s="658"/>
      <c r="K199" s="117">
        <f t="shared" si="9"/>
        <v>0</v>
      </c>
    </row>
    <row r="200" spans="1:11" s="117" customFormat="1">
      <c r="A200" s="108" t="s">
        <v>218</v>
      </c>
      <c r="B200" s="109" t="s">
        <v>179</v>
      </c>
      <c r="C200" s="1105"/>
      <c r="D200" s="12"/>
      <c r="E200" s="12"/>
      <c r="F200" s="1562" t="str">
        <f t="shared" si="8"/>
        <v>-</v>
      </c>
      <c r="G200" s="656"/>
      <c r="H200" s="657"/>
      <c r="I200" s="658"/>
      <c r="K200" s="13">
        <f t="shared" si="9"/>
        <v>0</v>
      </c>
    </row>
    <row r="201" spans="1:11" s="117" customFormat="1">
      <c r="A201" s="108" t="s">
        <v>219</v>
      </c>
      <c r="B201" s="109" t="s">
        <v>175</v>
      </c>
      <c r="C201" s="1105"/>
      <c r="D201" s="12"/>
      <c r="E201" s="12"/>
      <c r="F201" s="1562" t="str">
        <f t="shared" si="8"/>
        <v>-</v>
      </c>
      <c r="G201" s="656"/>
      <c r="H201" s="657"/>
      <c r="I201" s="658"/>
      <c r="K201" s="13">
        <f t="shared" si="9"/>
        <v>0</v>
      </c>
    </row>
    <row r="202" spans="1:11" s="117" customFormat="1">
      <c r="A202" s="108" t="s">
        <v>220</v>
      </c>
      <c r="B202" s="109" t="s">
        <v>176</v>
      </c>
      <c r="C202" s="1105"/>
      <c r="D202" s="12"/>
      <c r="E202" s="12"/>
      <c r="F202" s="1562" t="str">
        <f t="shared" si="8"/>
        <v>-</v>
      </c>
      <c r="G202" s="656"/>
      <c r="H202" s="657"/>
      <c r="I202" s="658"/>
      <c r="K202" s="13">
        <f t="shared" si="9"/>
        <v>0</v>
      </c>
    </row>
    <row r="203" spans="1:11" s="117" customFormat="1">
      <c r="A203" s="108" t="s">
        <v>939</v>
      </c>
      <c r="B203" s="109" t="s">
        <v>941</v>
      </c>
      <c r="C203" s="1105"/>
      <c r="D203" s="12"/>
      <c r="E203" s="12"/>
      <c r="F203" s="1562" t="str">
        <f t="shared" si="8"/>
        <v>-</v>
      </c>
      <c r="G203" s="656"/>
      <c r="H203" s="657"/>
      <c r="I203" s="658"/>
      <c r="K203" s="13">
        <f t="shared" si="9"/>
        <v>0</v>
      </c>
    </row>
    <row r="204" spans="1:11">
      <c r="A204" s="896" t="s">
        <v>79</v>
      </c>
      <c r="B204" s="897" t="s">
        <v>177</v>
      </c>
      <c r="C204" s="1106"/>
      <c r="D204" s="11"/>
      <c r="E204" s="11"/>
      <c r="F204" s="1562" t="str">
        <f t="shared" si="8"/>
        <v>-</v>
      </c>
      <c r="G204" s="866"/>
      <c r="H204" s="867"/>
      <c r="I204" s="868"/>
      <c r="K204" s="4">
        <f t="shared" si="9"/>
        <v>0</v>
      </c>
    </row>
    <row r="205" spans="1:11">
      <c r="A205" s="898" t="s">
        <v>221</v>
      </c>
      <c r="B205" s="899" t="s">
        <v>178</v>
      </c>
      <c r="C205" s="1107"/>
      <c r="D205" s="22"/>
      <c r="E205" s="22"/>
      <c r="F205" s="1561" t="str">
        <f t="shared" si="8"/>
        <v>-</v>
      </c>
      <c r="G205" s="869"/>
      <c r="H205" s="870"/>
      <c r="I205" s="871"/>
      <c r="K205" s="4">
        <f t="shared" si="9"/>
        <v>0</v>
      </c>
    </row>
    <row r="206" spans="1:11" ht="12.75" thickBot="1">
      <c r="A206" s="898" t="s">
        <v>943</v>
      </c>
      <c r="B206" s="899" t="s">
        <v>942</v>
      </c>
      <c r="C206" s="1107"/>
      <c r="D206" s="22"/>
      <c r="E206" s="22"/>
      <c r="F206" s="1561" t="str">
        <f t="shared" si="8"/>
        <v>-</v>
      </c>
      <c r="G206" s="869"/>
      <c r="H206" s="870"/>
      <c r="I206" s="871"/>
      <c r="K206" s="4">
        <f t="shared" si="9"/>
        <v>0</v>
      </c>
    </row>
    <row r="207" spans="1:11" s="119" customFormat="1" ht="12.75" thickBot="1">
      <c r="A207" s="884" t="s">
        <v>40</v>
      </c>
      <c r="B207" s="905" t="s">
        <v>317</v>
      </c>
      <c r="C207" s="1103">
        <f>+C177+C192</f>
        <v>0</v>
      </c>
      <c r="D207" s="28">
        <f>+D177+D192</f>
        <v>0</v>
      </c>
      <c r="E207" s="28">
        <f>+E177+E192</f>
        <v>0</v>
      </c>
      <c r="F207" s="1558" t="str">
        <f t="shared" si="8"/>
        <v>-</v>
      </c>
      <c r="G207" s="110">
        <f>+G177+G192</f>
        <v>0</v>
      </c>
      <c r="H207" s="111">
        <f>+H177+H192</f>
        <v>0</v>
      </c>
      <c r="I207" s="112">
        <f>+I177+I192</f>
        <v>0</v>
      </c>
      <c r="K207" s="3">
        <f t="shared" si="9"/>
        <v>0</v>
      </c>
    </row>
    <row r="208" spans="1:11" s="119" customFormat="1" ht="12.75" thickBot="1">
      <c r="A208" s="907" t="s">
        <v>39</v>
      </c>
      <c r="B208" s="908" t="s">
        <v>335</v>
      </c>
      <c r="C208" s="1109">
        <f>+C176+C207</f>
        <v>385308</v>
      </c>
      <c r="D208" s="25">
        <f>+D176+D207</f>
        <v>427783</v>
      </c>
      <c r="E208" s="25">
        <f>+E176+E207</f>
        <v>418656</v>
      </c>
      <c r="F208" s="1564">
        <f t="shared" si="8"/>
        <v>0.97866441630452827</v>
      </c>
      <c r="G208" s="909">
        <f>+G176+G207</f>
        <v>381572</v>
      </c>
      <c r="H208" s="910">
        <f>+H176+H207</f>
        <v>29872</v>
      </c>
      <c r="I208" s="911">
        <f>+I176+I207</f>
        <v>7212</v>
      </c>
      <c r="K208" s="3">
        <f t="shared" si="9"/>
        <v>0</v>
      </c>
    </row>
    <row r="211" spans="1:30" s="1" customFormat="1" ht="15.75">
      <c r="A211" s="1790" t="s">
        <v>89</v>
      </c>
      <c r="B211" s="1790"/>
      <c r="C211" s="1790"/>
      <c r="D211" s="1790"/>
      <c r="E211" s="1790"/>
      <c r="F211" s="1790"/>
      <c r="G211" s="1790"/>
      <c r="H211" s="1790"/>
      <c r="I211" s="1790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s="876" customFormat="1" ht="12.75" thickBot="1">
      <c r="A212" s="875" t="s">
        <v>282</v>
      </c>
      <c r="C212" s="36"/>
      <c r="D212" s="36"/>
      <c r="E212" s="36"/>
      <c r="F212" s="1548"/>
      <c r="I212" s="877" t="s">
        <v>281</v>
      </c>
      <c r="K212" s="36"/>
    </row>
    <row r="213" spans="1:30" s="119" customFormat="1" ht="12.75" thickBot="1">
      <c r="A213" s="884" t="s">
        <v>4</v>
      </c>
      <c r="B213" s="905" t="s">
        <v>318</v>
      </c>
      <c r="C213" s="1103">
        <f>+C214+C215</f>
        <v>-346784</v>
      </c>
      <c r="D213" s="28">
        <f>+D214+D215</f>
        <v>-371103</v>
      </c>
      <c r="E213" s="28">
        <f>+E214+E215</f>
        <v>-366194</v>
      </c>
      <c r="F213" s="1558">
        <f>IF(ISERROR(E213/D213),"-",E213/D213)</f>
        <v>0.98677186657073646</v>
      </c>
      <c r="G213" s="110">
        <f>+G214+G215</f>
        <v>-361854</v>
      </c>
      <c r="H213" s="111">
        <f>+H214+H215</f>
        <v>-3650</v>
      </c>
      <c r="I213" s="112">
        <f>+I214+I215</f>
        <v>-690</v>
      </c>
      <c r="K213" s="3">
        <f>+E213-G213-H213-I213</f>
        <v>0</v>
      </c>
    </row>
    <row r="214" spans="1:30">
      <c r="A214" s="892" t="s">
        <v>81</v>
      </c>
      <c r="B214" s="931" t="s">
        <v>319</v>
      </c>
      <c r="C214" s="1104">
        <f>+C10-C109</f>
        <v>-346784</v>
      </c>
      <c r="D214" s="10">
        <f>+D10-D109</f>
        <v>-368655</v>
      </c>
      <c r="E214" s="10">
        <f>+E10-E109</f>
        <v>-363746</v>
      </c>
      <c r="F214" s="1560">
        <f>IF(ISERROR(E214/D214),"-",E214/D214)</f>
        <v>0.98668402707138114</v>
      </c>
      <c r="G214" s="114">
        <f>+G10-G109</f>
        <v>-359410</v>
      </c>
      <c r="H214" s="115">
        <f>+H10-H109</f>
        <v>-3646</v>
      </c>
      <c r="I214" s="116">
        <f>+I10-I109</f>
        <v>-690</v>
      </c>
      <c r="K214" s="4">
        <f>+E214-G214-H214-I214</f>
        <v>0</v>
      </c>
    </row>
    <row r="215" spans="1:30" ht="12.75" thickBot="1">
      <c r="A215" s="932" t="s">
        <v>82</v>
      </c>
      <c r="B215" s="933" t="s">
        <v>320</v>
      </c>
      <c r="C215" s="1111">
        <f>+C50-C149</f>
        <v>0</v>
      </c>
      <c r="D215" s="17">
        <f>+D50-D149</f>
        <v>-2448</v>
      </c>
      <c r="E215" s="17">
        <f>+E50-E149</f>
        <v>-2448</v>
      </c>
      <c r="F215" s="1566">
        <f>IF(ISERROR(E215/D215),"-",E215/D215)</f>
        <v>1</v>
      </c>
      <c r="G215" s="934">
        <f>+G50-G149</f>
        <v>-2444</v>
      </c>
      <c r="H215" s="929">
        <f>+H50-H149</f>
        <v>-4</v>
      </c>
      <c r="I215" s="930">
        <f>+I50-I149</f>
        <v>0</v>
      </c>
      <c r="K215" s="4">
        <f>+E215-G215-H215-I215</f>
        <v>0</v>
      </c>
    </row>
    <row r="218" spans="1:30" s="1" customFormat="1" ht="15.75">
      <c r="A218" s="1790" t="s">
        <v>90</v>
      </c>
      <c r="B218" s="1790"/>
      <c r="C218" s="1790"/>
      <c r="D218" s="1790"/>
      <c r="E218" s="1790"/>
      <c r="F218" s="1790"/>
      <c r="G218" s="1790"/>
      <c r="H218" s="1790"/>
      <c r="I218" s="1790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s="876" customFormat="1" ht="12.75" thickBot="1">
      <c r="A219" s="875" t="s">
        <v>283</v>
      </c>
      <c r="C219" s="36"/>
      <c r="D219" s="36"/>
      <c r="E219" s="36"/>
      <c r="F219" s="1548"/>
      <c r="I219" s="877" t="s">
        <v>281</v>
      </c>
      <c r="K219" s="36"/>
    </row>
    <row r="220" spans="1:30" s="119" customFormat="1" ht="12.75" thickBot="1">
      <c r="A220" s="884" t="s">
        <v>4</v>
      </c>
      <c r="B220" s="905" t="s">
        <v>321</v>
      </c>
      <c r="C220" s="1103">
        <f>+C221+C228</f>
        <v>346784</v>
      </c>
      <c r="D220" s="28">
        <f>+D221+D228</f>
        <v>371103</v>
      </c>
      <c r="E220" s="28">
        <f>+E221+E228</f>
        <v>388825</v>
      </c>
      <c r="F220" s="1558">
        <f t="shared" ref="F220:F234" si="10">IF(ISERROR(E220/D220),"-",E220/D220)</f>
        <v>1.0477549359611753</v>
      </c>
      <c r="G220" s="110">
        <f>+G221+G228</f>
        <v>384485</v>
      </c>
      <c r="H220" s="111">
        <f>+H221+H228</f>
        <v>3650</v>
      </c>
      <c r="I220" s="112">
        <f>+I221+I228</f>
        <v>690</v>
      </c>
      <c r="K220" s="3">
        <f t="shared" ref="K220:K234" si="11">+E220-G220-H220-I220</f>
        <v>0</v>
      </c>
    </row>
    <row r="221" spans="1:30" s="119" customFormat="1" ht="12.75" thickBot="1">
      <c r="A221" s="884" t="s">
        <v>5</v>
      </c>
      <c r="B221" s="891" t="s">
        <v>322</v>
      </c>
      <c r="C221" s="1103">
        <f>+C222-C225</f>
        <v>346784</v>
      </c>
      <c r="D221" s="28">
        <f>+D222-D225</f>
        <v>368655</v>
      </c>
      <c r="E221" s="28">
        <f>+E222-E225</f>
        <v>386377</v>
      </c>
      <c r="F221" s="1558">
        <f t="shared" si="10"/>
        <v>1.0480720456795649</v>
      </c>
      <c r="G221" s="110">
        <f>+G222-G225</f>
        <v>382041</v>
      </c>
      <c r="H221" s="111">
        <f>+H222-H225</f>
        <v>3646</v>
      </c>
      <c r="I221" s="112">
        <f>+I222-I225</f>
        <v>690</v>
      </c>
      <c r="K221" s="3">
        <f t="shared" si="11"/>
        <v>0</v>
      </c>
    </row>
    <row r="222" spans="1:30">
      <c r="A222" s="892" t="s">
        <v>54</v>
      </c>
      <c r="B222" s="113" t="s">
        <v>323</v>
      </c>
      <c r="C222" s="1104">
        <f>+C223+C224</f>
        <v>346784</v>
      </c>
      <c r="D222" s="10">
        <f>+D223+D224</f>
        <v>368655</v>
      </c>
      <c r="E222" s="10">
        <f>+E223+E224</f>
        <v>386377</v>
      </c>
      <c r="F222" s="1560">
        <f t="shared" si="10"/>
        <v>1.0480720456795649</v>
      </c>
      <c r="G222" s="114">
        <f>+G223+G224</f>
        <v>382041</v>
      </c>
      <c r="H222" s="115">
        <f>+H223+H224</f>
        <v>3646</v>
      </c>
      <c r="I222" s="116">
        <f>+I223+I224</f>
        <v>690</v>
      </c>
      <c r="K222" s="4">
        <f t="shared" si="11"/>
        <v>0</v>
      </c>
    </row>
    <row r="223" spans="1:30" s="117" customFormat="1">
      <c r="A223" s="108" t="s">
        <v>190</v>
      </c>
      <c r="B223" s="109" t="s">
        <v>285</v>
      </c>
      <c r="C223" s="1105">
        <f>+C76+C80</f>
        <v>0</v>
      </c>
      <c r="D223" s="12">
        <f>+D76+D80</f>
        <v>53635</v>
      </c>
      <c r="E223" s="12">
        <f>+E76+E80</f>
        <v>53635</v>
      </c>
      <c r="F223" s="1562">
        <f t="shared" si="10"/>
        <v>1</v>
      </c>
      <c r="G223" s="656">
        <f>+G76+G80</f>
        <v>53635</v>
      </c>
      <c r="H223" s="657">
        <f>+H76+H80</f>
        <v>0</v>
      </c>
      <c r="I223" s="658">
        <f>+I76+I80</f>
        <v>0</v>
      </c>
      <c r="K223" s="13">
        <f t="shared" si="11"/>
        <v>0</v>
      </c>
    </row>
    <row r="224" spans="1:30" s="117" customFormat="1">
      <c r="A224" s="108" t="s">
        <v>191</v>
      </c>
      <c r="B224" s="109" t="s">
        <v>286</v>
      </c>
      <c r="C224" s="1105">
        <f>+C74+C75+C77+C78+C79+C81</f>
        <v>346784</v>
      </c>
      <c r="D224" s="12">
        <f>+D74+D75+D77+D78+D79+D81</f>
        <v>315020</v>
      </c>
      <c r="E224" s="12">
        <f>+E74+E75+E77+E78+E79+E81</f>
        <v>332742</v>
      </c>
      <c r="F224" s="1562">
        <f t="shared" si="10"/>
        <v>1.0562567456034537</v>
      </c>
      <c r="G224" s="656">
        <f>+G74+G75+G77+G78+G79+G81</f>
        <v>328406</v>
      </c>
      <c r="H224" s="657">
        <f>+H74+H75+H77+H78+H79+H81</f>
        <v>3646</v>
      </c>
      <c r="I224" s="658">
        <f>+I74+I75+I77+I78+I79+I81</f>
        <v>690</v>
      </c>
      <c r="K224" s="13">
        <f t="shared" si="11"/>
        <v>0</v>
      </c>
    </row>
    <row r="225" spans="1:30">
      <c r="A225" s="896" t="s">
        <v>55</v>
      </c>
      <c r="B225" s="897" t="s">
        <v>324</v>
      </c>
      <c r="C225" s="1106">
        <f>+C227</f>
        <v>0</v>
      </c>
      <c r="D225" s="11">
        <f>+D227</f>
        <v>0</v>
      </c>
      <c r="E225" s="11">
        <f>+E227</f>
        <v>0</v>
      </c>
      <c r="F225" s="1562" t="str">
        <f t="shared" si="10"/>
        <v>-</v>
      </c>
      <c r="G225" s="866">
        <f>+G227</f>
        <v>0</v>
      </c>
      <c r="H225" s="867">
        <f>+H227</f>
        <v>0</v>
      </c>
      <c r="I225" s="868">
        <f>+I227</f>
        <v>0</v>
      </c>
      <c r="K225" s="4">
        <f t="shared" si="11"/>
        <v>0</v>
      </c>
    </row>
    <row r="226" spans="1:30" s="117" customFormat="1">
      <c r="A226" s="108" t="s">
        <v>56</v>
      </c>
      <c r="B226" s="109" t="s">
        <v>287</v>
      </c>
      <c r="C226" s="1105">
        <f>+C185</f>
        <v>0</v>
      </c>
      <c r="D226" s="12">
        <f>+D185</f>
        <v>0</v>
      </c>
      <c r="E226" s="12">
        <f>+E185</f>
        <v>0</v>
      </c>
      <c r="F226" s="1562" t="str">
        <f t="shared" si="10"/>
        <v>-</v>
      </c>
      <c r="G226" s="656">
        <f>+G185</f>
        <v>0</v>
      </c>
      <c r="H226" s="657">
        <f>+H185</f>
        <v>0</v>
      </c>
      <c r="I226" s="658">
        <f>+I185</f>
        <v>0</v>
      </c>
      <c r="K226" s="13">
        <f t="shared" si="11"/>
        <v>0</v>
      </c>
    </row>
    <row r="227" spans="1:30" s="117" customFormat="1" ht="12.75" thickBot="1">
      <c r="A227" s="900" t="s">
        <v>57</v>
      </c>
      <c r="B227" s="922" t="s">
        <v>288</v>
      </c>
      <c r="C227" s="1108">
        <f>+C180+C181+C182+C183+C184+C186+C187</f>
        <v>0</v>
      </c>
      <c r="D227" s="43">
        <f>+D180+D181+D182+D183+D184+D186+D187</f>
        <v>0</v>
      </c>
      <c r="E227" s="43">
        <f>+E180+E181+E182+E183+E184+E186+E187</f>
        <v>0</v>
      </c>
      <c r="F227" s="1561" t="str">
        <f t="shared" si="10"/>
        <v>-</v>
      </c>
      <c r="G227" s="902">
        <f>+G180+G181+G182+G183+G184+G186+G187</f>
        <v>0</v>
      </c>
      <c r="H227" s="903">
        <f>+H180+H181+H182+H183+H184+H186+H187</f>
        <v>0</v>
      </c>
      <c r="I227" s="904">
        <f>+I180+I181+I182+I183+I184+I186+I187</f>
        <v>0</v>
      </c>
      <c r="K227" s="13">
        <f t="shared" si="11"/>
        <v>0</v>
      </c>
    </row>
    <row r="228" spans="1:30" s="119" customFormat="1" ht="12.75" thickBot="1">
      <c r="A228" s="884" t="s">
        <v>6</v>
      </c>
      <c r="B228" s="891" t="s">
        <v>325</v>
      </c>
      <c r="C228" s="1103">
        <f>+C229-C232</f>
        <v>0</v>
      </c>
      <c r="D228" s="28">
        <f>+D229-D232</f>
        <v>2448</v>
      </c>
      <c r="E228" s="28">
        <f>+E229-E232</f>
        <v>2448</v>
      </c>
      <c r="F228" s="1558">
        <f t="shared" si="10"/>
        <v>1</v>
      </c>
      <c r="G228" s="110">
        <f>+G229-G232</f>
        <v>2444</v>
      </c>
      <c r="H228" s="111">
        <f>+H229-H232</f>
        <v>4</v>
      </c>
      <c r="I228" s="112">
        <f>+I229-I232</f>
        <v>0</v>
      </c>
      <c r="K228" s="3">
        <f t="shared" si="11"/>
        <v>0</v>
      </c>
    </row>
    <row r="229" spans="1:30">
      <c r="A229" s="892" t="s">
        <v>58</v>
      </c>
      <c r="B229" s="113" t="s">
        <v>326</v>
      </c>
      <c r="C229" s="1104">
        <f>+C230+C231</f>
        <v>0</v>
      </c>
      <c r="D229" s="10">
        <f>+D230+D231</f>
        <v>2448</v>
      </c>
      <c r="E229" s="10">
        <f>+E230+E231</f>
        <v>2448</v>
      </c>
      <c r="F229" s="1560">
        <f t="shared" si="10"/>
        <v>1</v>
      </c>
      <c r="G229" s="114">
        <f>+G230+G231</f>
        <v>2444</v>
      </c>
      <c r="H229" s="115">
        <f>+H230+H231</f>
        <v>4</v>
      </c>
      <c r="I229" s="116">
        <f>+I230+I231</f>
        <v>0</v>
      </c>
      <c r="K229" s="4">
        <f t="shared" si="11"/>
        <v>0</v>
      </c>
    </row>
    <row r="230" spans="1:30" s="117" customFormat="1">
      <c r="A230" s="108" t="s">
        <v>293</v>
      </c>
      <c r="B230" s="109" t="s">
        <v>291</v>
      </c>
      <c r="C230" s="1105">
        <f>+C91+C95</f>
        <v>0</v>
      </c>
      <c r="D230" s="12">
        <f>+D91+D95</f>
        <v>0</v>
      </c>
      <c r="E230" s="12">
        <f>+E91+E95</f>
        <v>0</v>
      </c>
      <c r="F230" s="1562" t="str">
        <f t="shared" si="10"/>
        <v>-</v>
      </c>
      <c r="G230" s="656">
        <f>+G91+G95</f>
        <v>0</v>
      </c>
      <c r="H230" s="657">
        <f>+H91+H95</f>
        <v>0</v>
      </c>
      <c r="I230" s="658">
        <f>+I91+I95</f>
        <v>0</v>
      </c>
      <c r="K230" s="13">
        <f t="shared" si="11"/>
        <v>0</v>
      </c>
    </row>
    <row r="231" spans="1:30" s="117" customFormat="1">
      <c r="A231" s="108" t="s">
        <v>294</v>
      </c>
      <c r="B231" s="109" t="s">
        <v>292</v>
      </c>
      <c r="C231" s="1105">
        <f>+C89+C90+C92+C93+C94+C96</f>
        <v>0</v>
      </c>
      <c r="D231" s="12">
        <f>+D89+D90+D92+D93+D94+D96</f>
        <v>2448</v>
      </c>
      <c r="E231" s="12">
        <f>+E89+E90+E92+E93+E94+E96</f>
        <v>2448</v>
      </c>
      <c r="F231" s="1562">
        <f t="shared" si="10"/>
        <v>1</v>
      </c>
      <c r="G231" s="656">
        <f>+G89+G90+G92+G93+G94+G96</f>
        <v>2444</v>
      </c>
      <c r="H231" s="657">
        <f>+H89+H90+H92+H93+H94+H96</f>
        <v>4</v>
      </c>
      <c r="I231" s="658">
        <f>+I89+I90+I92+I93+I94+I96</f>
        <v>0</v>
      </c>
      <c r="K231" s="13">
        <f t="shared" si="11"/>
        <v>0</v>
      </c>
    </row>
    <row r="232" spans="1:30">
      <c r="A232" s="896" t="s">
        <v>59</v>
      </c>
      <c r="B232" s="897" t="s">
        <v>327</v>
      </c>
      <c r="C232" s="1106">
        <f>+C233+C234</f>
        <v>0</v>
      </c>
      <c r="D232" s="11">
        <f>+D233+D234</f>
        <v>0</v>
      </c>
      <c r="E232" s="11">
        <f>+E233+E234</f>
        <v>0</v>
      </c>
      <c r="F232" s="1562" t="str">
        <f t="shared" si="10"/>
        <v>-</v>
      </c>
      <c r="G232" s="866">
        <f>+G233+G234</f>
        <v>0</v>
      </c>
      <c r="H232" s="867">
        <f>+H233+H234</f>
        <v>0</v>
      </c>
      <c r="I232" s="868">
        <f>+I233+I234</f>
        <v>0</v>
      </c>
      <c r="K232" s="4">
        <f t="shared" si="11"/>
        <v>0</v>
      </c>
    </row>
    <row r="233" spans="1:30" s="117" customFormat="1">
      <c r="A233" s="108" t="s">
        <v>295</v>
      </c>
      <c r="B233" s="109" t="s">
        <v>289</v>
      </c>
      <c r="C233" s="1105">
        <f>+C200</f>
        <v>0</v>
      </c>
      <c r="D233" s="12">
        <f>+D200</f>
        <v>0</v>
      </c>
      <c r="E233" s="12">
        <f>+E200</f>
        <v>0</v>
      </c>
      <c r="F233" s="1562" t="str">
        <f t="shared" si="10"/>
        <v>-</v>
      </c>
      <c r="G233" s="656">
        <f>+G200</f>
        <v>0</v>
      </c>
      <c r="H233" s="657">
        <f>+H200</f>
        <v>0</v>
      </c>
      <c r="I233" s="658">
        <f>+I200</f>
        <v>0</v>
      </c>
      <c r="K233" s="13">
        <f t="shared" si="11"/>
        <v>0</v>
      </c>
    </row>
    <row r="234" spans="1:30" s="117" customFormat="1" ht="12.75" thickBot="1">
      <c r="A234" s="935" t="s">
        <v>296</v>
      </c>
      <c r="B234" s="936" t="s">
        <v>290</v>
      </c>
      <c r="C234" s="1112">
        <f>+C195+C196+C197+C198+C199+C201+C202</f>
        <v>0</v>
      </c>
      <c r="D234" s="41">
        <f>+D195+D196+D197+D198+D199+D201+D202</f>
        <v>0</v>
      </c>
      <c r="E234" s="41">
        <f>+E195+E196+E197+E198+E199+E201+E202</f>
        <v>0</v>
      </c>
      <c r="F234" s="1566" t="str">
        <f t="shared" si="10"/>
        <v>-</v>
      </c>
      <c r="G234" s="937">
        <f>+G195+G196+G197+G198+G199+G201+G202</f>
        <v>0</v>
      </c>
      <c r="H234" s="938">
        <f>+H195+H196+H197+H198+H199+H201+H202</f>
        <v>0</v>
      </c>
      <c r="I234" s="939">
        <f>+I195+I196+I197+I198+I199+I201+I202</f>
        <v>0</v>
      </c>
      <c r="K234" s="13">
        <f t="shared" si="11"/>
        <v>0</v>
      </c>
    </row>
    <row r="237" spans="1:30" s="1" customFormat="1" ht="15.75">
      <c r="A237" s="1790" t="s">
        <v>1307</v>
      </c>
      <c r="B237" s="1790"/>
      <c r="C237" s="1790"/>
      <c r="D237" s="1790"/>
      <c r="E237" s="1790"/>
      <c r="F237" s="1790"/>
      <c r="G237" s="1790"/>
      <c r="H237" s="1790"/>
      <c r="I237" s="179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876" customFormat="1" ht="12.75" thickBot="1">
      <c r="A238" s="875" t="s">
        <v>284</v>
      </c>
      <c r="C238" s="36"/>
      <c r="D238" s="36"/>
      <c r="E238" s="36"/>
      <c r="F238" s="1548"/>
      <c r="I238" s="877"/>
      <c r="K238" s="36"/>
    </row>
    <row r="239" spans="1:30" s="119" customFormat="1">
      <c r="A239" s="940" t="s">
        <v>4</v>
      </c>
      <c r="B239" s="941" t="s">
        <v>91</v>
      </c>
      <c r="C239" s="1113">
        <v>90</v>
      </c>
      <c r="D239" s="55">
        <f>90+3</f>
        <v>93</v>
      </c>
      <c r="E239" s="55">
        <v>87</v>
      </c>
      <c r="F239" s="1559">
        <f>IF(ISERROR(E239/D239),"-",E239/D239)</f>
        <v>0.93548387096774188</v>
      </c>
      <c r="G239" s="942">
        <v>83</v>
      </c>
      <c r="H239" s="943">
        <v>4</v>
      </c>
      <c r="I239" s="944"/>
      <c r="K239" s="3">
        <f>+E239-G239-H239-I239</f>
        <v>0</v>
      </c>
    </row>
    <row r="240" spans="1:30" s="117" customFormat="1">
      <c r="A240" s="900" t="s">
        <v>351</v>
      </c>
      <c r="B240" s="945" t="s">
        <v>352</v>
      </c>
      <c r="C240" s="1114"/>
      <c r="D240" s="101">
        <v>3</v>
      </c>
      <c r="E240" s="101">
        <v>3</v>
      </c>
      <c r="F240" s="1561">
        <f>IF(ISERROR(E240/D240),"-",E240/D240)</f>
        <v>1</v>
      </c>
      <c r="G240" s="946">
        <v>3</v>
      </c>
      <c r="H240" s="947"/>
      <c r="I240" s="948"/>
      <c r="K240" s="13">
        <f>+E240-G240-H240-I240</f>
        <v>0</v>
      </c>
    </row>
    <row r="241" spans="1:11" s="119" customFormat="1" ht="12.75" thickBot="1">
      <c r="A241" s="949" t="s">
        <v>5</v>
      </c>
      <c r="B241" s="950" t="s">
        <v>92</v>
      </c>
      <c r="C241" s="1115"/>
      <c r="D241" s="58"/>
      <c r="E241" s="58"/>
      <c r="F241" s="1567" t="str">
        <f>IF(ISERROR(E241/D241),"-",E241/D241)</f>
        <v>-</v>
      </c>
      <c r="G241" s="951"/>
      <c r="H241" s="952"/>
      <c r="I241" s="953"/>
      <c r="K241" s="3">
        <f>+E241-G241-H241-I241</f>
        <v>0</v>
      </c>
    </row>
    <row r="242" spans="1:11" s="119" customFormat="1" ht="12.75" thickBot="1">
      <c r="A242" s="884" t="s">
        <v>6</v>
      </c>
      <c r="B242" s="905" t="s">
        <v>330</v>
      </c>
      <c r="C242" s="1116">
        <f>+C239+C241</f>
        <v>90</v>
      </c>
      <c r="D242" s="61">
        <f>+D239+D241</f>
        <v>93</v>
      </c>
      <c r="E242" s="61">
        <f>+E239+E241</f>
        <v>87</v>
      </c>
      <c r="F242" s="1558">
        <f>IF(ISERROR(E242/D242),"-",E242/D242)</f>
        <v>0.93548387096774188</v>
      </c>
      <c r="G242" s="954">
        <f>+G239+G241</f>
        <v>83</v>
      </c>
      <c r="H242" s="955">
        <f>+H239+H241</f>
        <v>4</v>
      </c>
      <c r="I242" s="956">
        <f>+I239+I241</f>
        <v>0</v>
      </c>
      <c r="K242" s="3">
        <f>+E242-G242-H242-I242</f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conditionalFormatting sqref="F26:F31 F89:F100 F65:F69 F59:F63 F52:F57 F45:F49 F33:F43 F13:F24 F195:F206 F180:F191 F166:F175 F151:F158 F147:F148 F133:F145 F124:F131 F117:F122 F111:F115 F160:F164 F74:F85">
    <cfRule type="cellIs" dxfId="10" priority="2" stopIfTrue="1" operator="equal">
      <formula>0</formula>
    </cfRule>
  </conditionalFormatting>
  <conditionalFormatting sqref="F65:F69 F59:F63 F52:F57 F45:F49 F33:F43 F13:F24 F195:F206 F180:F191 F166:F175 F160:F164 F151:F158 F147:F148 F133:F145 F124:F131 F117:F122 F111:F115 F26:F31 F89:F100 F74:F85">
    <cfRule type="cellIs" dxfId="9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1.2. melléklet - &amp;P. oldal</oddHeader>
  </headerFooter>
  <rowBreaks count="1" manualBreakCount="1">
    <brk id="104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11">
    <tabColor rgb="FF00B0F0"/>
  </sheetPr>
  <dimension ref="A1:AD242"/>
  <sheetViews>
    <sheetView zoomScaleNormal="100" workbookViewId="0"/>
  </sheetViews>
  <sheetFormatPr defaultRowHeight="12"/>
  <cols>
    <col min="1" max="1" width="6.5703125" style="118" customWidth="1"/>
    <col min="2" max="2" width="109.5703125" style="118" bestFit="1" customWidth="1"/>
    <col min="3" max="5" width="9.28515625" style="4" customWidth="1"/>
    <col min="6" max="6" width="9.28515625" style="1565" customWidth="1"/>
    <col min="7" max="9" width="9.28515625" style="118" customWidth="1"/>
    <col min="10" max="10" width="9.140625" style="118" customWidth="1"/>
    <col min="11" max="11" width="9.140625" style="4" hidden="1" customWidth="1"/>
    <col min="12" max="12" width="9.140625" style="118" customWidth="1"/>
    <col min="13" max="16384" width="9.140625" style="118"/>
  </cols>
  <sheetData>
    <row r="1" spans="1:11" s="872" customFormat="1" ht="15.75">
      <c r="C1" s="50"/>
      <c r="D1" s="50"/>
      <c r="E1" s="50"/>
      <c r="F1" s="1547"/>
      <c r="I1" s="873" t="s">
        <v>356</v>
      </c>
      <c r="K1" s="50"/>
    </row>
    <row r="2" spans="1:11" s="872" customFormat="1" ht="15.75">
      <c r="C2" s="50"/>
      <c r="D2" s="50"/>
      <c r="E2" s="50"/>
      <c r="F2" s="1547"/>
      <c r="K2" s="50"/>
    </row>
    <row r="3" spans="1:11" s="874" customFormat="1" ht="15.75">
      <c r="A3" s="1794" t="s">
        <v>357</v>
      </c>
      <c r="B3" s="1794"/>
      <c r="C3" s="1794"/>
      <c r="D3" s="1794"/>
      <c r="E3" s="1794"/>
      <c r="F3" s="1794"/>
      <c r="G3" s="1794"/>
      <c r="H3" s="1794"/>
      <c r="I3" s="1794"/>
      <c r="K3" s="52"/>
    </row>
    <row r="4" spans="1:11" s="874" customFormat="1" ht="15.75">
      <c r="A4" s="1794" t="s">
        <v>1308</v>
      </c>
      <c r="B4" s="1794"/>
      <c r="C4" s="1794"/>
      <c r="D4" s="1794"/>
      <c r="E4" s="1794"/>
      <c r="F4" s="1794"/>
      <c r="G4" s="1794"/>
      <c r="H4" s="1794"/>
      <c r="I4" s="1794"/>
      <c r="K4" s="52"/>
    </row>
    <row r="5" spans="1:11" s="872" customFormat="1" ht="15.75">
      <c r="C5" s="50"/>
      <c r="D5" s="50"/>
      <c r="E5" s="50"/>
      <c r="F5" s="1547"/>
      <c r="K5" s="50"/>
    </row>
    <row r="6" spans="1:11" s="874" customFormat="1" ht="15.75">
      <c r="A6" s="1794" t="s">
        <v>48</v>
      </c>
      <c r="B6" s="1794"/>
      <c r="C6" s="1794"/>
      <c r="D6" s="1794"/>
      <c r="E6" s="1794"/>
      <c r="F6" s="1794"/>
      <c r="G6" s="1794"/>
      <c r="H6" s="1794"/>
      <c r="I6" s="1794"/>
      <c r="K6" s="52"/>
    </row>
    <row r="7" spans="1:11" s="876" customFormat="1" ht="12.75" thickBot="1">
      <c r="A7" s="875" t="s">
        <v>280</v>
      </c>
      <c r="C7" s="36"/>
      <c r="D7" s="36"/>
      <c r="E7" s="36"/>
      <c r="F7" s="1548"/>
      <c r="I7" s="877" t="s">
        <v>281</v>
      </c>
      <c r="K7" s="36"/>
    </row>
    <row r="8" spans="1:11" s="883" customFormat="1" ht="54" customHeight="1" thickBot="1">
      <c r="A8" s="878" t="s">
        <v>17</v>
      </c>
      <c r="B8" s="879" t="s">
        <v>328</v>
      </c>
      <c r="C8" s="1570" t="s">
        <v>1553</v>
      </c>
      <c r="D8" s="1571" t="s">
        <v>1554</v>
      </c>
      <c r="E8" s="6" t="s">
        <v>2646</v>
      </c>
      <c r="F8" s="1549" t="s">
        <v>2645</v>
      </c>
      <c r="G8" s="5" t="s">
        <v>51</v>
      </c>
      <c r="H8" s="6" t="s">
        <v>52</v>
      </c>
      <c r="I8" s="7" t="s">
        <v>53</v>
      </c>
      <c r="K8" s="8"/>
    </row>
    <row r="9" spans="1:11" s="119" customFormat="1" ht="13.5" customHeight="1" thickBot="1">
      <c r="A9" s="884" t="s">
        <v>253</v>
      </c>
      <c r="B9" s="885" t="s">
        <v>254</v>
      </c>
      <c r="C9" s="1795" t="s">
        <v>255</v>
      </c>
      <c r="D9" s="1796"/>
      <c r="E9" s="1796"/>
      <c r="F9" s="1796"/>
      <c r="G9" s="1796"/>
      <c r="H9" s="1796"/>
      <c r="I9" s="1797"/>
      <c r="K9" s="3"/>
    </row>
    <row r="10" spans="1:11" s="119" customFormat="1" ht="12.75" thickBot="1">
      <c r="A10" s="886" t="s">
        <v>4</v>
      </c>
      <c r="B10" s="887" t="s">
        <v>297</v>
      </c>
      <c r="C10" s="1102">
        <f>+C11+C25+C32+C44</f>
        <v>19872</v>
      </c>
      <c r="D10" s="133">
        <f>+D11+D25+D32+D44</f>
        <v>15271</v>
      </c>
      <c r="E10" s="133">
        <f>+E11+E25+E32+E44</f>
        <v>14234</v>
      </c>
      <c r="F10" s="1550">
        <f t="shared" ref="F10:F73" si="0">IF(ISERROR(E10/D10),"-",E10/D10)</f>
        <v>0.93209351057560086</v>
      </c>
      <c r="G10" s="888">
        <f>+G11+G25+G32+G44</f>
        <v>14234</v>
      </c>
      <c r="H10" s="889">
        <f>+H11+H25+H32+H44</f>
        <v>0</v>
      </c>
      <c r="I10" s="890">
        <f>+I11+I25+I32+I44</f>
        <v>0</v>
      </c>
      <c r="K10" s="3">
        <f t="shared" ref="K10:K73" si="1">+E10-G10-H10-I10</f>
        <v>0</v>
      </c>
    </row>
    <row r="11" spans="1:11" s="119" customFormat="1" ht="12.75" thickBot="1">
      <c r="A11" s="884" t="s">
        <v>5</v>
      </c>
      <c r="B11" s="891" t="s">
        <v>298</v>
      </c>
      <c r="C11" s="1103">
        <f>+C12+C19+C20+C21+C22+C23</f>
        <v>0</v>
      </c>
      <c r="D11" s="28">
        <f>+D12+D19+D20+D21+D22+D23</f>
        <v>0</v>
      </c>
      <c r="E11" s="28">
        <f>+E12+E19+E20+E21+E22+E23</f>
        <v>0</v>
      </c>
      <c r="F11" s="1551" t="str">
        <f t="shared" si="0"/>
        <v>-</v>
      </c>
      <c r="G11" s="110">
        <f>+G12+G19+G20+G21+G22+G23</f>
        <v>0</v>
      </c>
      <c r="H11" s="111">
        <f>+H12+H19+H20+H21+H22+H23</f>
        <v>0</v>
      </c>
      <c r="I11" s="112">
        <f>+I12+I19+I20+I21+I22+I23</f>
        <v>0</v>
      </c>
      <c r="K11" s="3">
        <f t="shared" si="1"/>
        <v>0</v>
      </c>
    </row>
    <row r="12" spans="1:11" s="119" customFormat="1">
      <c r="A12" s="892" t="s">
        <v>54</v>
      </c>
      <c r="B12" s="113" t="s">
        <v>299</v>
      </c>
      <c r="C12" s="1104">
        <f>+C13+C14+C15+C16+C17+C18</f>
        <v>0</v>
      </c>
      <c r="D12" s="10">
        <f>+D13+D14+D15+D16+D17+D18</f>
        <v>0</v>
      </c>
      <c r="E12" s="10">
        <f>+E13+E14+E15+E16+E17+E18</f>
        <v>0</v>
      </c>
      <c r="F12" s="1552" t="str">
        <f t="shared" si="0"/>
        <v>-</v>
      </c>
      <c r="G12" s="893">
        <f>+G13+G14+G15+G16+G17+G18</f>
        <v>0</v>
      </c>
      <c r="H12" s="894">
        <f>+H13+H14+H15+H16+H17+H18</f>
        <v>0</v>
      </c>
      <c r="I12" s="895">
        <f>+I13+I14+I15+I16+I17+I18</f>
        <v>0</v>
      </c>
      <c r="K12" s="4">
        <f t="shared" si="1"/>
        <v>0</v>
      </c>
    </row>
    <row r="13" spans="1:11" s="117" customFormat="1">
      <c r="A13" s="108" t="s">
        <v>190</v>
      </c>
      <c r="B13" s="109" t="s">
        <v>93</v>
      </c>
      <c r="C13" s="1105"/>
      <c r="D13" s="12"/>
      <c r="E13" s="12"/>
      <c r="F13" s="1553" t="str">
        <f t="shared" si="0"/>
        <v>-</v>
      </c>
      <c r="G13" s="656"/>
      <c r="H13" s="657"/>
      <c r="I13" s="658"/>
      <c r="K13" s="13">
        <f t="shared" si="1"/>
        <v>0</v>
      </c>
    </row>
    <row r="14" spans="1:11" s="117" customFormat="1">
      <c r="A14" s="108" t="s">
        <v>191</v>
      </c>
      <c r="B14" s="109" t="s">
        <v>94</v>
      </c>
      <c r="C14" s="1105"/>
      <c r="D14" s="12"/>
      <c r="E14" s="12"/>
      <c r="F14" s="1553" t="str">
        <f t="shared" si="0"/>
        <v>-</v>
      </c>
      <c r="G14" s="656"/>
      <c r="H14" s="657"/>
      <c r="I14" s="658"/>
      <c r="K14" s="13">
        <f t="shared" si="1"/>
        <v>0</v>
      </c>
    </row>
    <row r="15" spans="1:11" s="117" customFormat="1">
      <c r="A15" s="108" t="s">
        <v>192</v>
      </c>
      <c r="B15" s="109" t="s">
        <v>95</v>
      </c>
      <c r="C15" s="1105"/>
      <c r="D15" s="12"/>
      <c r="E15" s="12"/>
      <c r="F15" s="1553" t="str">
        <f t="shared" si="0"/>
        <v>-</v>
      </c>
      <c r="G15" s="656"/>
      <c r="H15" s="657"/>
      <c r="I15" s="658"/>
      <c r="K15" s="13">
        <f t="shared" si="1"/>
        <v>0</v>
      </c>
    </row>
    <row r="16" spans="1:11" s="117" customFormat="1">
      <c r="A16" s="108" t="s">
        <v>193</v>
      </c>
      <c r="B16" s="109" t="s">
        <v>96</v>
      </c>
      <c r="C16" s="1105"/>
      <c r="D16" s="12"/>
      <c r="E16" s="12"/>
      <c r="F16" s="1553" t="str">
        <f t="shared" si="0"/>
        <v>-</v>
      </c>
      <c r="G16" s="656"/>
      <c r="H16" s="657"/>
      <c r="I16" s="658"/>
      <c r="K16" s="13">
        <f t="shared" si="1"/>
        <v>0</v>
      </c>
    </row>
    <row r="17" spans="1:11" s="117" customFormat="1">
      <c r="A17" s="108" t="s">
        <v>194</v>
      </c>
      <c r="B17" s="109" t="s">
        <v>899</v>
      </c>
      <c r="C17" s="1105"/>
      <c r="D17" s="12"/>
      <c r="E17" s="12"/>
      <c r="F17" s="1554" t="str">
        <f t="shared" si="0"/>
        <v>-</v>
      </c>
      <c r="G17" s="656"/>
      <c r="H17" s="657"/>
      <c r="I17" s="658"/>
      <c r="K17" s="13">
        <f t="shared" si="1"/>
        <v>0</v>
      </c>
    </row>
    <row r="18" spans="1:11" s="117" customFormat="1">
      <c r="A18" s="108" t="s">
        <v>195</v>
      </c>
      <c r="B18" s="109" t="s">
        <v>900</v>
      </c>
      <c r="C18" s="1105"/>
      <c r="D18" s="12"/>
      <c r="E18" s="12"/>
      <c r="F18" s="1554" t="str">
        <f t="shared" si="0"/>
        <v>-</v>
      </c>
      <c r="G18" s="656"/>
      <c r="H18" s="657"/>
      <c r="I18" s="658"/>
      <c r="K18" s="13">
        <f t="shared" si="1"/>
        <v>0</v>
      </c>
    </row>
    <row r="19" spans="1:11">
      <c r="A19" s="896" t="s">
        <v>55</v>
      </c>
      <c r="B19" s="897" t="s">
        <v>97</v>
      </c>
      <c r="C19" s="1106"/>
      <c r="D19" s="11"/>
      <c r="E19" s="11"/>
      <c r="F19" s="1553" t="str">
        <f t="shared" si="0"/>
        <v>-</v>
      </c>
      <c r="G19" s="866"/>
      <c r="H19" s="867"/>
      <c r="I19" s="868"/>
      <c r="K19" s="4">
        <f t="shared" si="1"/>
        <v>0</v>
      </c>
    </row>
    <row r="20" spans="1:11">
      <c r="A20" s="896" t="s">
        <v>83</v>
      </c>
      <c r="B20" s="897" t="s">
        <v>98</v>
      </c>
      <c r="C20" s="1106"/>
      <c r="D20" s="11"/>
      <c r="E20" s="11"/>
      <c r="F20" s="1553" t="str">
        <f t="shared" si="0"/>
        <v>-</v>
      </c>
      <c r="G20" s="866"/>
      <c r="H20" s="867"/>
      <c r="I20" s="868"/>
      <c r="K20" s="4">
        <f t="shared" si="1"/>
        <v>0</v>
      </c>
    </row>
    <row r="21" spans="1:11">
      <c r="A21" s="896" t="s">
        <v>84</v>
      </c>
      <c r="B21" s="897" t="s">
        <v>99</v>
      </c>
      <c r="C21" s="1106"/>
      <c r="D21" s="11"/>
      <c r="E21" s="11"/>
      <c r="F21" s="1553" t="str">
        <f t="shared" si="0"/>
        <v>-</v>
      </c>
      <c r="G21" s="866"/>
      <c r="H21" s="867"/>
      <c r="I21" s="868"/>
      <c r="K21" s="4">
        <f t="shared" si="1"/>
        <v>0</v>
      </c>
    </row>
    <row r="22" spans="1:11">
      <c r="A22" s="896" t="s">
        <v>85</v>
      </c>
      <c r="B22" s="897" t="s">
        <v>100</v>
      </c>
      <c r="C22" s="1106"/>
      <c r="D22" s="11"/>
      <c r="E22" s="11"/>
      <c r="F22" s="1553" t="str">
        <f t="shared" si="0"/>
        <v>-</v>
      </c>
      <c r="G22" s="866"/>
      <c r="H22" s="867"/>
      <c r="I22" s="868"/>
      <c r="K22" s="4">
        <f t="shared" si="1"/>
        <v>0</v>
      </c>
    </row>
    <row r="23" spans="1:11">
      <c r="A23" s="898" t="s">
        <v>86</v>
      </c>
      <c r="B23" s="899" t="s">
        <v>101</v>
      </c>
      <c r="C23" s="1107"/>
      <c r="D23" s="22"/>
      <c r="E23" s="22"/>
      <c r="F23" s="1555" t="str">
        <f t="shared" si="0"/>
        <v>-</v>
      </c>
      <c r="G23" s="869"/>
      <c r="H23" s="870"/>
      <c r="I23" s="871"/>
      <c r="K23" s="4">
        <f t="shared" si="1"/>
        <v>0</v>
      </c>
    </row>
    <row r="24" spans="1:11" s="117" customFormat="1" ht="12.75" thickBot="1">
      <c r="A24" s="900" t="s">
        <v>332</v>
      </c>
      <c r="B24" s="901" t="s">
        <v>333</v>
      </c>
      <c r="C24" s="1108"/>
      <c r="D24" s="43"/>
      <c r="E24" s="43"/>
      <c r="F24" s="1555" t="str">
        <f t="shared" si="0"/>
        <v>-</v>
      </c>
      <c r="G24" s="902"/>
      <c r="H24" s="903"/>
      <c r="I24" s="904"/>
      <c r="K24" s="13">
        <f t="shared" si="1"/>
        <v>0</v>
      </c>
    </row>
    <row r="25" spans="1:11" s="119" customFormat="1" ht="12.75" thickBot="1">
      <c r="A25" s="884" t="s">
        <v>6</v>
      </c>
      <c r="B25" s="891" t="s">
        <v>785</v>
      </c>
      <c r="C25" s="1103">
        <f>+C26+C27+C28+C29+C30+C31</f>
        <v>0</v>
      </c>
      <c r="D25" s="28">
        <f>+D26+D27+D28+D29+D30+D31</f>
        <v>0</v>
      </c>
      <c r="E25" s="28">
        <f>+E26+E27+E28+E29+E30+E31</f>
        <v>0</v>
      </c>
      <c r="F25" s="1551" t="str">
        <f t="shared" si="0"/>
        <v>-</v>
      </c>
      <c r="G25" s="110">
        <f>+G26+G27+G28+G29+G30+G31</f>
        <v>0</v>
      </c>
      <c r="H25" s="111">
        <f>+H26+H27+H28+H29+H30+H31</f>
        <v>0</v>
      </c>
      <c r="I25" s="112">
        <f>+I26+I27+I28+I29+I30+I31</f>
        <v>0</v>
      </c>
      <c r="K25" s="3">
        <f t="shared" si="1"/>
        <v>0</v>
      </c>
    </row>
    <row r="26" spans="1:11">
      <c r="A26" s="892" t="s">
        <v>58</v>
      </c>
      <c r="B26" s="113" t="s">
        <v>102</v>
      </c>
      <c r="C26" s="1104"/>
      <c r="D26" s="10"/>
      <c r="E26" s="10"/>
      <c r="F26" s="1552" t="str">
        <f t="shared" si="0"/>
        <v>-</v>
      </c>
      <c r="G26" s="114"/>
      <c r="H26" s="115"/>
      <c r="I26" s="116"/>
      <c r="K26" s="4">
        <f t="shared" si="1"/>
        <v>0</v>
      </c>
    </row>
    <row r="27" spans="1:11">
      <c r="A27" s="896" t="s">
        <v>59</v>
      </c>
      <c r="B27" s="897" t="s">
        <v>103</v>
      </c>
      <c r="C27" s="1106"/>
      <c r="D27" s="11"/>
      <c r="E27" s="11"/>
      <c r="F27" s="1553" t="str">
        <f t="shared" si="0"/>
        <v>-</v>
      </c>
      <c r="G27" s="866"/>
      <c r="H27" s="867"/>
      <c r="I27" s="868"/>
      <c r="K27" s="4">
        <f t="shared" si="1"/>
        <v>0</v>
      </c>
    </row>
    <row r="28" spans="1:11">
      <c r="A28" s="896" t="s">
        <v>60</v>
      </c>
      <c r="B28" s="897" t="s">
        <v>104</v>
      </c>
      <c r="C28" s="1106"/>
      <c r="D28" s="11"/>
      <c r="E28" s="11"/>
      <c r="F28" s="1553" t="str">
        <f t="shared" si="0"/>
        <v>-</v>
      </c>
      <c r="G28" s="866"/>
      <c r="H28" s="867"/>
      <c r="I28" s="868"/>
      <c r="K28" s="4">
        <f t="shared" si="1"/>
        <v>0</v>
      </c>
    </row>
    <row r="29" spans="1:11">
      <c r="A29" s="896" t="s">
        <v>180</v>
      </c>
      <c r="B29" s="897" t="s">
        <v>105</v>
      </c>
      <c r="C29" s="1106"/>
      <c r="D29" s="11"/>
      <c r="E29" s="11"/>
      <c r="F29" s="1553" t="str">
        <f t="shared" si="0"/>
        <v>-</v>
      </c>
      <c r="G29" s="866"/>
      <c r="H29" s="867"/>
      <c r="I29" s="868"/>
      <c r="K29" s="4">
        <f t="shared" si="1"/>
        <v>0</v>
      </c>
    </row>
    <row r="30" spans="1:11">
      <c r="A30" s="898" t="s">
        <v>181</v>
      </c>
      <c r="B30" s="899" t="s">
        <v>106</v>
      </c>
      <c r="C30" s="1107"/>
      <c r="D30" s="22"/>
      <c r="E30" s="22"/>
      <c r="F30" s="1555" t="str">
        <f t="shared" si="0"/>
        <v>-</v>
      </c>
      <c r="G30" s="866"/>
      <c r="H30" s="867"/>
      <c r="I30" s="868"/>
      <c r="K30" s="4">
        <f t="shared" si="1"/>
        <v>0</v>
      </c>
    </row>
    <row r="31" spans="1:11" ht="12.75" thickBot="1">
      <c r="A31" s="898" t="s">
        <v>784</v>
      </c>
      <c r="B31" s="899" t="s">
        <v>786</v>
      </c>
      <c r="C31" s="1107"/>
      <c r="D31" s="22"/>
      <c r="E31" s="22"/>
      <c r="F31" s="1555" t="str">
        <f t="shared" si="0"/>
        <v>-</v>
      </c>
      <c r="G31" s="866"/>
      <c r="H31" s="867"/>
      <c r="I31" s="868"/>
      <c r="K31" s="4">
        <f t="shared" si="1"/>
        <v>0</v>
      </c>
    </row>
    <row r="32" spans="1:11" s="119" customFormat="1" ht="12.75" thickBot="1">
      <c r="A32" s="884" t="s">
        <v>3</v>
      </c>
      <c r="B32" s="891" t="s">
        <v>975</v>
      </c>
      <c r="C32" s="1103">
        <f>+C33+C34+C35+C36+C37+C38+C39+C40+C41+C42+C43</f>
        <v>19872</v>
      </c>
      <c r="D32" s="28">
        <f>+D33+D34+D35+D36+D37+D38+D39+D40+D41+D42+D43</f>
        <v>15271</v>
      </c>
      <c r="E32" s="28">
        <f>+E33+E34+E35+E36+E37+E38+E39+E40+E41+E42+E43</f>
        <v>14234</v>
      </c>
      <c r="F32" s="1551">
        <f t="shared" si="0"/>
        <v>0.93209351057560086</v>
      </c>
      <c r="G32" s="110">
        <f>+G33+G34+G35+G36+G37+G38+G39+G40+G41+G42+G43</f>
        <v>14234</v>
      </c>
      <c r="H32" s="111">
        <f>+H33+H34+H35+H36+H37+H38+H39+H40+H41+H42+H43</f>
        <v>0</v>
      </c>
      <c r="I32" s="112">
        <f>+I33+I34+I35+I36+I37+I38+I39+I40+I41+I42+I43</f>
        <v>0</v>
      </c>
      <c r="K32" s="3">
        <f t="shared" si="1"/>
        <v>0</v>
      </c>
    </row>
    <row r="33" spans="1:11">
      <c r="A33" s="892" t="s">
        <v>61</v>
      </c>
      <c r="B33" s="113" t="s">
        <v>107</v>
      </c>
      <c r="C33" s="1104"/>
      <c r="D33" s="10"/>
      <c r="E33" s="10"/>
      <c r="F33" s="1552" t="str">
        <f t="shared" si="0"/>
        <v>-</v>
      </c>
      <c r="G33" s="114"/>
      <c r="H33" s="115"/>
      <c r="I33" s="116"/>
      <c r="K33" s="4">
        <f t="shared" si="1"/>
        <v>0</v>
      </c>
    </row>
    <row r="34" spans="1:11">
      <c r="A34" s="896" t="s">
        <v>62</v>
      </c>
      <c r="B34" s="897" t="s">
        <v>108</v>
      </c>
      <c r="C34" s="1106">
        <v>4413</v>
      </c>
      <c r="D34" s="11">
        <v>404</v>
      </c>
      <c r="E34" s="11">
        <v>376</v>
      </c>
      <c r="F34" s="1553">
        <f t="shared" si="0"/>
        <v>0.93069306930693074</v>
      </c>
      <c r="G34" s="866">
        <v>376</v>
      </c>
      <c r="H34" s="867"/>
      <c r="I34" s="868"/>
      <c r="K34" s="4">
        <f t="shared" si="1"/>
        <v>0</v>
      </c>
    </row>
    <row r="35" spans="1:11">
      <c r="A35" s="896" t="s">
        <v>63</v>
      </c>
      <c r="B35" s="897" t="s">
        <v>109</v>
      </c>
      <c r="C35" s="1106">
        <v>2000</v>
      </c>
      <c r="D35" s="11">
        <v>2336</v>
      </c>
      <c r="E35" s="11">
        <v>2336</v>
      </c>
      <c r="F35" s="1553">
        <f t="shared" si="0"/>
        <v>1</v>
      </c>
      <c r="G35" s="866">
        <v>2336</v>
      </c>
      <c r="H35" s="867"/>
      <c r="I35" s="868"/>
      <c r="K35" s="4">
        <f t="shared" si="1"/>
        <v>0</v>
      </c>
    </row>
    <row r="36" spans="1:11">
      <c r="A36" s="896" t="s">
        <v>64</v>
      </c>
      <c r="B36" s="897" t="s">
        <v>110</v>
      </c>
      <c r="C36" s="1106"/>
      <c r="D36" s="11"/>
      <c r="E36" s="11"/>
      <c r="F36" s="1553" t="str">
        <f t="shared" si="0"/>
        <v>-</v>
      </c>
      <c r="G36" s="866"/>
      <c r="H36" s="867"/>
      <c r="I36" s="868"/>
      <c r="K36" s="4">
        <f t="shared" si="1"/>
        <v>0</v>
      </c>
    </row>
    <row r="37" spans="1:11">
      <c r="A37" s="896" t="s">
        <v>65</v>
      </c>
      <c r="B37" s="897" t="s">
        <v>111</v>
      </c>
      <c r="C37" s="1106">
        <v>8734</v>
      </c>
      <c r="D37" s="11">
        <v>8469</v>
      </c>
      <c r="E37" s="11">
        <v>8469</v>
      </c>
      <c r="F37" s="1553">
        <f t="shared" si="0"/>
        <v>1</v>
      </c>
      <c r="G37" s="866">
        <v>8469</v>
      </c>
      <c r="H37" s="867"/>
      <c r="I37" s="868"/>
      <c r="K37" s="4">
        <f t="shared" si="1"/>
        <v>0</v>
      </c>
    </row>
    <row r="38" spans="1:11">
      <c r="A38" s="896" t="s">
        <v>222</v>
      </c>
      <c r="B38" s="897" t="s">
        <v>112</v>
      </c>
      <c r="C38" s="1106">
        <v>4089</v>
      </c>
      <c r="D38" s="11">
        <v>3017</v>
      </c>
      <c r="E38" s="11">
        <v>3017</v>
      </c>
      <c r="F38" s="1553">
        <f t="shared" si="0"/>
        <v>1</v>
      </c>
      <c r="G38" s="866">
        <v>3017</v>
      </c>
      <c r="H38" s="867"/>
      <c r="I38" s="868"/>
      <c r="K38" s="4">
        <f t="shared" si="1"/>
        <v>0</v>
      </c>
    </row>
    <row r="39" spans="1:11">
      <c r="A39" s="896" t="s">
        <v>223</v>
      </c>
      <c r="B39" s="897" t="s">
        <v>113</v>
      </c>
      <c r="C39" s="1106">
        <v>636</v>
      </c>
      <c r="D39" s="11">
        <v>1009</v>
      </c>
      <c r="E39" s="11"/>
      <c r="F39" s="1553">
        <f t="shared" si="0"/>
        <v>0</v>
      </c>
      <c r="G39" s="866"/>
      <c r="H39" s="867"/>
      <c r="I39" s="868"/>
      <c r="K39" s="4">
        <f t="shared" si="1"/>
        <v>0</v>
      </c>
    </row>
    <row r="40" spans="1:11">
      <c r="A40" s="896" t="s">
        <v>224</v>
      </c>
      <c r="B40" s="897" t="s">
        <v>985</v>
      </c>
      <c r="C40" s="1106"/>
      <c r="D40" s="11"/>
      <c r="E40" s="11"/>
      <c r="F40" s="1553" t="str">
        <f t="shared" si="0"/>
        <v>-</v>
      </c>
      <c r="G40" s="866"/>
      <c r="H40" s="867"/>
      <c r="I40" s="868"/>
      <c r="K40" s="4">
        <f t="shared" si="1"/>
        <v>0</v>
      </c>
    </row>
    <row r="41" spans="1:11">
      <c r="A41" s="896" t="s">
        <v>225</v>
      </c>
      <c r="B41" s="897" t="s">
        <v>114</v>
      </c>
      <c r="C41" s="1106"/>
      <c r="D41" s="11"/>
      <c r="E41" s="11"/>
      <c r="F41" s="1553" t="str">
        <f t="shared" si="0"/>
        <v>-</v>
      </c>
      <c r="G41" s="866"/>
      <c r="H41" s="867"/>
      <c r="I41" s="868"/>
      <c r="K41" s="4">
        <f t="shared" si="1"/>
        <v>0</v>
      </c>
    </row>
    <row r="42" spans="1:11">
      <c r="A42" s="898" t="s">
        <v>226</v>
      </c>
      <c r="B42" s="899" t="s">
        <v>902</v>
      </c>
      <c r="C42" s="1106"/>
      <c r="D42" s="11"/>
      <c r="E42" s="11"/>
      <c r="F42" s="1553" t="str">
        <f t="shared" si="0"/>
        <v>-</v>
      </c>
      <c r="G42" s="866"/>
      <c r="H42" s="867"/>
      <c r="I42" s="868"/>
      <c r="K42" s="4">
        <f t="shared" si="1"/>
        <v>0</v>
      </c>
    </row>
    <row r="43" spans="1:11" ht="12.75" thickBot="1">
      <c r="A43" s="898" t="s">
        <v>901</v>
      </c>
      <c r="B43" s="899" t="s">
        <v>903</v>
      </c>
      <c r="C43" s="1107"/>
      <c r="D43" s="22">
        <v>36</v>
      </c>
      <c r="E43" s="22">
        <v>36</v>
      </c>
      <c r="F43" s="1555">
        <f t="shared" si="0"/>
        <v>1</v>
      </c>
      <c r="G43" s="869">
        <v>36</v>
      </c>
      <c r="H43" s="870"/>
      <c r="I43" s="871"/>
      <c r="K43" s="4">
        <f t="shared" si="1"/>
        <v>0</v>
      </c>
    </row>
    <row r="44" spans="1:11" s="119" customFormat="1" ht="12.75" thickBot="1">
      <c r="A44" s="884" t="s">
        <v>16</v>
      </c>
      <c r="B44" s="891" t="s">
        <v>976</v>
      </c>
      <c r="C44" s="1103">
        <f>+C45+C46+C47+C48+C49</f>
        <v>0</v>
      </c>
      <c r="D44" s="28">
        <f>+D45+D46+D47+D48+D49</f>
        <v>0</v>
      </c>
      <c r="E44" s="28">
        <f>+E45+E46+E47+E48+E49</f>
        <v>0</v>
      </c>
      <c r="F44" s="1551" t="str">
        <f t="shared" si="0"/>
        <v>-</v>
      </c>
      <c r="G44" s="110">
        <f>+G45+G46+G47+G48+G49</f>
        <v>0</v>
      </c>
      <c r="H44" s="111">
        <f>+H45+H46+H47+H48+H49</f>
        <v>0</v>
      </c>
      <c r="I44" s="112">
        <f>+I45+I46+I47+I48+I49</f>
        <v>0</v>
      </c>
      <c r="K44" s="3">
        <f t="shared" si="1"/>
        <v>0</v>
      </c>
    </row>
    <row r="45" spans="1:11">
      <c r="A45" s="892" t="s">
        <v>227</v>
      </c>
      <c r="B45" s="113" t="s">
        <v>115</v>
      </c>
      <c r="C45" s="1104"/>
      <c r="D45" s="10"/>
      <c r="E45" s="10"/>
      <c r="F45" s="1552" t="str">
        <f t="shared" si="0"/>
        <v>-</v>
      </c>
      <c r="G45" s="114"/>
      <c r="H45" s="115"/>
      <c r="I45" s="116"/>
      <c r="K45" s="4">
        <f t="shared" si="1"/>
        <v>0</v>
      </c>
    </row>
    <row r="46" spans="1:11">
      <c r="A46" s="892" t="s">
        <v>228</v>
      </c>
      <c r="B46" s="113" t="s">
        <v>904</v>
      </c>
      <c r="C46" s="1104"/>
      <c r="D46" s="10"/>
      <c r="E46" s="10"/>
      <c r="F46" s="1552" t="str">
        <f t="shared" si="0"/>
        <v>-</v>
      </c>
      <c r="G46" s="114"/>
      <c r="H46" s="115"/>
      <c r="I46" s="116"/>
      <c r="K46" s="4">
        <f t="shared" si="1"/>
        <v>0</v>
      </c>
    </row>
    <row r="47" spans="1:11">
      <c r="A47" s="892" t="s">
        <v>229</v>
      </c>
      <c r="B47" s="113" t="s">
        <v>905</v>
      </c>
      <c r="C47" s="1104"/>
      <c r="D47" s="10"/>
      <c r="E47" s="10"/>
      <c r="F47" s="1552" t="str">
        <f t="shared" si="0"/>
        <v>-</v>
      </c>
      <c r="G47" s="114"/>
      <c r="H47" s="115"/>
      <c r="I47" s="116"/>
      <c r="K47" s="4">
        <f t="shared" si="1"/>
        <v>0</v>
      </c>
    </row>
    <row r="48" spans="1:11">
      <c r="A48" s="896" t="s">
        <v>257</v>
      </c>
      <c r="B48" s="897" t="s">
        <v>906</v>
      </c>
      <c r="C48" s="1106"/>
      <c r="D48" s="11"/>
      <c r="E48" s="11"/>
      <c r="F48" s="1553" t="str">
        <f t="shared" si="0"/>
        <v>-</v>
      </c>
      <c r="G48" s="866"/>
      <c r="H48" s="867"/>
      <c r="I48" s="868"/>
      <c r="K48" s="4">
        <f t="shared" si="1"/>
        <v>0</v>
      </c>
    </row>
    <row r="49" spans="1:11" ht="12.75" thickBot="1">
      <c r="A49" s="898" t="s">
        <v>258</v>
      </c>
      <c r="B49" s="899" t="s">
        <v>907</v>
      </c>
      <c r="C49" s="1107"/>
      <c r="D49" s="22"/>
      <c r="E49" s="22"/>
      <c r="F49" s="1555" t="str">
        <f t="shared" si="0"/>
        <v>-</v>
      </c>
      <c r="G49" s="869"/>
      <c r="H49" s="870"/>
      <c r="I49" s="871"/>
      <c r="K49" s="4">
        <f t="shared" si="1"/>
        <v>0</v>
      </c>
    </row>
    <row r="50" spans="1:11" s="119" customFormat="1" ht="12.75" thickBot="1">
      <c r="A50" s="884" t="s">
        <v>15</v>
      </c>
      <c r="B50" s="905" t="s">
        <v>300</v>
      </c>
      <c r="C50" s="1103">
        <f>+C51+C58+C64</f>
        <v>0</v>
      </c>
      <c r="D50" s="28">
        <f>+D51+D58+D64</f>
        <v>0</v>
      </c>
      <c r="E50" s="28">
        <f>+E51+E58+E64</f>
        <v>0</v>
      </c>
      <c r="F50" s="1551" t="str">
        <f t="shared" si="0"/>
        <v>-</v>
      </c>
      <c r="G50" s="110">
        <f>+G51+G58+G64</f>
        <v>0</v>
      </c>
      <c r="H50" s="111">
        <f>+H51+H58+H64</f>
        <v>0</v>
      </c>
      <c r="I50" s="112">
        <f>+I51+I58+I64</f>
        <v>0</v>
      </c>
      <c r="K50" s="3">
        <f t="shared" si="1"/>
        <v>0</v>
      </c>
    </row>
    <row r="51" spans="1:11" s="119" customFormat="1" ht="12.75" thickBot="1">
      <c r="A51" s="884" t="s">
        <v>14</v>
      </c>
      <c r="B51" s="891" t="s">
        <v>301</v>
      </c>
      <c r="C51" s="1103">
        <f>+C52+C53+C54+C55+C56</f>
        <v>0</v>
      </c>
      <c r="D51" s="28">
        <f>+D52+D53+D54+D55+D56</f>
        <v>0</v>
      </c>
      <c r="E51" s="28">
        <f>+E52+E53+E54+E55+E56</f>
        <v>0</v>
      </c>
      <c r="F51" s="1551" t="str">
        <f t="shared" si="0"/>
        <v>-</v>
      </c>
      <c r="G51" s="110">
        <f>+G52+G53+G54+G55+G56</f>
        <v>0</v>
      </c>
      <c r="H51" s="111">
        <f>+H52+H53+H54+H55+H56</f>
        <v>0</v>
      </c>
      <c r="I51" s="112">
        <f>+I52+I53+I54+I55+I56</f>
        <v>0</v>
      </c>
      <c r="K51" s="3">
        <f t="shared" si="1"/>
        <v>0</v>
      </c>
    </row>
    <row r="52" spans="1:11">
      <c r="A52" s="892" t="s">
        <v>185</v>
      </c>
      <c r="B52" s="113" t="s">
        <v>116</v>
      </c>
      <c r="C52" s="1104"/>
      <c r="D52" s="10"/>
      <c r="E52" s="10"/>
      <c r="F52" s="1552" t="str">
        <f t="shared" si="0"/>
        <v>-</v>
      </c>
      <c r="G52" s="114"/>
      <c r="H52" s="115"/>
      <c r="I52" s="116"/>
      <c r="K52" s="4">
        <f t="shared" si="1"/>
        <v>0</v>
      </c>
    </row>
    <row r="53" spans="1:11">
      <c r="A53" s="896" t="s">
        <v>186</v>
      </c>
      <c r="B53" s="897" t="s">
        <v>117</v>
      </c>
      <c r="C53" s="1106"/>
      <c r="D53" s="11"/>
      <c r="E53" s="11"/>
      <c r="F53" s="1553" t="str">
        <f t="shared" si="0"/>
        <v>-</v>
      </c>
      <c r="G53" s="866"/>
      <c r="H53" s="867"/>
      <c r="I53" s="868"/>
      <c r="K53" s="4">
        <f t="shared" si="1"/>
        <v>0</v>
      </c>
    </row>
    <row r="54" spans="1:11">
      <c r="A54" s="896" t="s">
        <v>187</v>
      </c>
      <c r="B54" s="897" t="s">
        <v>118</v>
      </c>
      <c r="C54" s="1106"/>
      <c r="D54" s="11"/>
      <c r="E54" s="11"/>
      <c r="F54" s="1553" t="str">
        <f t="shared" si="0"/>
        <v>-</v>
      </c>
      <c r="G54" s="866"/>
      <c r="H54" s="867"/>
      <c r="I54" s="868"/>
      <c r="K54" s="4">
        <f t="shared" si="1"/>
        <v>0</v>
      </c>
    </row>
    <row r="55" spans="1:11">
      <c r="A55" s="896" t="s">
        <v>188</v>
      </c>
      <c r="B55" s="897" t="s">
        <v>119</v>
      </c>
      <c r="C55" s="1106"/>
      <c r="D55" s="11"/>
      <c r="E55" s="11"/>
      <c r="F55" s="1553" t="str">
        <f t="shared" si="0"/>
        <v>-</v>
      </c>
      <c r="G55" s="866"/>
      <c r="H55" s="867"/>
      <c r="I55" s="868"/>
      <c r="K55" s="4">
        <f t="shared" si="1"/>
        <v>0</v>
      </c>
    </row>
    <row r="56" spans="1:11">
      <c r="A56" s="898" t="s">
        <v>189</v>
      </c>
      <c r="B56" s="899" t="s">
        <v>120</v>
      </c>
      <c r="C56" s="1107"/>
      <c r="D56" s="22"/>
      <c r="E56" s="22"/>
      <c r="F56" s="1555" t="str">
        <f t="shared" si="0"/>
        <v>-</v>
      </c>
      <c r="G56" s="869"/>
      <c r="H56" s="870"/>
      <c r="I56" s="871"/>
      <c r="K56" s="4">
        <f t="shared" si="1"/>
        <v>0</v>
      </c>
    </row>
    <row r="57" spans="1:11" s="117" customFormat="1" ht="12.75" thickBot="1">
      <c r="A57" s="900" t="s">
        <v>334</v>
      </c>
      <c r="B57" s="901" t="s">
        <v>338</v>
      </c>
      <c r="C57" s="1108"/>
      <c r="D57" s="43"/>
      <c r="E57" s="43"/>
      <c r="F57" s="1555" t="str">
        <f t="shared" si="0"/>
        <v>-</v>
      </c>
      <c r="G57" s="902"/>
      <c r="H57" s="903"/>
      <c r="I57" s="904"/>
      <c r="K57" s="13">
        <f t="shared" si="1"/>
        <v>0</v>
      </c>
    </row>
    <row r="58" spans="1:11" s="119" customFormat="1" ht="12.75" thickBot="1">
      <c r="A58" s="884" t="s">
        <v>13</v>
      </c>
      <c r="B58" s="891" t="s">
        <v>302</v>
      </c>
      <c r="C58" s="1103">
        <f>+C59+C60+C61+C62+C63</f>
        <v>0</v>
      </c>
      <c r="D58" s="28">
        <f>+D59+D60+D61+D62+D63</f>
        <v>0</v>
      </c>
      <c r="E58" s="28">
        <f>+E59+E60+E61+E62+E63</f>
        <v>0</v>
      </c>
      <c r="F58" s="1551" t="str">
        <f t="shared" si="0"/>
        <v>-</v>
      </c>
      <c r="G58" s="110">
        <f>+G59+G60+G61+G62+G63</f>
        <v>0</v>
      </c>
      <c r="H58" s="111">
        <f>+H59+H60+H61+H62+H63</f>
        <v>0</v>
      </c>
      <c r="I58" s="112">
        <f>+I59+I60+I61+I62+I63</f>
        <v>0</v>
      </c>
      <c r="K58" s="3">
        <f t="shared" si="1"/>
        <v>0</v>
      </c>
    </row>
    <row r="59" spans="1:11">
      <c r="A59" s="892" t="s">
        <v>66</v>
      </c>
      <c r="B59" s="113" t="s">
        <v>121</v>
      </c>
      <c r="C59" s="1104"/>
      <c r="D59" s="10"/>
      <c r="E59" s="10"/>
      <c r="F59" s="1552" t="str">
        <f t="shared" si="0"/>
        <v>-</v>
      </c>
      <c r="G59" s="114"/>
      <c r="H59" s="115"/>
      <c r="I59" s="116"/>
      <c r="K59" s="4">
        <f t="shared" si="1"/>
        <v>0</v>
      </c>
    </row>
    <row r="60" spans="1:11">
      <c r="A60" s="896" t="s">
        <v>67</v>
      </c>
      <c r="B60" s="897" t="s">
        <v>122</v>
      </c>
      <c r="C60" s="1106"/>
      <c r="D60" s="11"/>
      <c r="E60" s="11"/>
      <c r="F60" s="1553" t="str">
        <f t="shared" si="0"/>
        <v>-</v>
      </c>
      <c r="G60" s="866"/>
      <c r="H60" s="867"/>
      <c r="I60" s="868"/>
      <c r="K60" s="4">
        <f t="shared" si="1"/>
        <v>0</v>
      </c>
    </row>
    <row r="61" spans="1:11">
      <c r="A61" s="896" t="s">
        <v>68</v>
      </c>
      <c r="B61" s="897" t="s">
        <v>123</v>
      </c>
      <c r="C61" s="1106"/>
      <c r="D61" s="11"/>
      <c r="E61" s="11"/>
      <c r="F61" s="1553" t="str">
        <f t="shared" si="0"/>
        <v>-</v>
      </c>
      <c r="G61" s="866"/>
      <c r="H61" s="867"/>
      <c r="I61" s="868"/>
      <c r="K61" s="4">
        <f t="shared" si="1"/>
        <v>0</v>
      </c>
    </row>
    <row r="62" spans="1:11">
      <c r="A62" s="896" t="s">
        <v>230</v>
      </c>
      <c r="B62" s="897" t="s">
        <v>124</v>
      </c>
      <c r="C62" s="1106"/>
      <c r="D62" s="11"/>
      <c r="E62" s="11"/>
      <c r="F62" s="1553" t="str">
        <f t="shared" si="0"/>
        <v>-</v>
      </c>
      <c r="G62" s="866"/>
      <c r="H62" s="867"/>
      <c r="I62" s="868"/>
      <c r="K62" s="4">
        <f t="shared" si="1"/>
        <v>0</v>
      </c>
    </row>
    <row r="63" spans="1:11" ht="12.75" thickBot="1">
      <c r="A63" s="898" t="s">
        <v>231</v>
      </c>
      <c r="B63" s="899" t="s">
        <v>125</v>
      </c>
      <c r="C63" s="1107"/>
      <c r="D63" s="22"/>
      <c r="E63" s="22"/>
      <c r="F63" s="1555" t="str">
        <f t="shared" si="0"/>
        <v>-</v>
      </c>
      <c r="G63" s="869"/>
      <c r="H63" s="870"/>
      <c r="I63" s="871"/>
      <c r="K63" s="4">
        <f t="shared" si="1"/>
        <v>0</v>
      </c>
    </row>
    <row r="64" spans="1:11" s="119" customFormat="1" ht="12.75" thickBot="1">
      <c r="A64" s="884" t="s">
        <v>12</v>
      </c>
      <c r="B64" s="891" t="s">
        <v>911</v>
      </c>
      <c r="C64" s="1103">
        <f>+C65+C66+C67+C68+C69</f>
        <v>0</v>
      </c>
      <c r="D64" s="28">
        <f>+D65+D66+D67+D68+D69</f>
        <v>0</v>
      </c>
      <c r="E64" s="28">
        <f>+E65+E66+E67+E68+E69</f>
        <v>0</v>
      </c>
      <c r="F64" s="1551" t="str">
        <f t="shared" si="0"/>
        <v>-</v>
      </c>
      <c r="G64" s="110">
        <f>+G65+G66+G67+G68+G69</f>
        <v>0</v>
      </c>
      <c r="H64" s="111">
        <f>+H65+H66+H67+H68+H69</f>
        <v>0</v>
      </c>
      <c r="I64" s="112">
        <f>+I65+I66+I67+I68+I69</f>
        <v>0</v>
      </c>
      <c r="K64" s="3">
        <f t="shared" si="1"/>
        <v>0</v>
      </c>
    </row>
    <row r="65" spans="1:11">
      <c r="A65" s="892" t="s">
        <v>69</v>
      </c>
      <c r="B65" s="113" t="s">
        <v>126</v>
      </c>
      <c r="C65" s="1104"/>
      <c r="D65" s="10"/>
      <c r="E65" s="10"/>
      <c r="F65" s="1552" t="str">
        <f t="shared" si="0"/>
        <v>-</v>
      </c>
      <c r="G65" s="114"/>
      <c r="H65" s="115"/>
      <c r="I65" s="116"/>
      <c r="K65" s="4">
        <f t="shared" si="1"/>
        <v>0</v>
      </c>
    </row>
    <row r="66" spans="1:11">
      <c r="A66" s="892" t="s">
        <v>70</v>
      </c>
      <c r="B66" s="113" t="s">
        <v>912</v>
      </c>
      <c r="C66" s="1104"/>
      <c r="D66" s="10"/>
      <c r="E66" s="10"/>
      <c r="F66" s="1552" t="str">
        <f t="shared" si="0"/>
        <v>-</v>
      </c>
      <c r="G66" s="114"/>
      <c r="H66" s="115"/>
      <c r="I66" s="116"/>
      <c r="K66" s="4">
        <f t="shared" si="1"/>
        <v>0</v>
      </c>
    </row>
    <row r="67" spans="1:11">
      <c r="A67" s="892" t="s">
        <v>71</v>
      </c>
      <c r="B67" s="113" t="s">
        <v>913</v>
      </c>
      <c r="C67" s="1104"/>
      <c r="D67" s="10"/>
      <c r="E67" s="10"/>
      <c r="F67" s="1552" t="str">
        <f t="shared" si="0"/>
        <v>-</v>
      </c>
      <c r="G67" s="114"/>
      <c r="H67" s="115"/>
      <c r="I67" s="116"/>
      <c r="K67" s="4">
        <f t="shared" si="1"/>
        <v>0</v>
      </c>
    </row>
    <row r="68" spans="1:11">
      <c r="A68" s="896" t="s">
        <v>72</v>
      </c>
      <c r="B68" s="897" t="s">
        <v>909</v>
      </c>
      <c r="C68" s="1106"/>
      <c r="D68" s="11"/>
      <c r="E68" s="11"/>
      <c r="F68" s="1553" t="str">
        <f t="shared" si="0"/>
        <v>-</v>
      </c>
      <c r="G68" s="866"/>
      <c r="H68" s="867"/>
      <c r="I68" s="868"/>
      <c r="K68" s="4">
        <f t="shared" si="1"/>
        <v>0</v>
      </c>
    </row>
    <row r="69" spans="1:11" ht="12.75" thickBot="1">
      <c r="A69" s="898" t="s">
        <v>908</v>
      </c>
      <c r="B69" s="899" t="s">
        <v>910</v>
      </c>
      <c r="C69" s="1107"/>
      <c r="D69" s="22"/>
      <c r="E69" s="22"/>
      <c r="F69" s="1555" t="str">
        <f t="shared" si="0"/>
        <v>-</v>
      </c>
      <c r="G69" s="869"/>
      <c r="H69" s="870"/>
      <c r="I69" s="871"/>
      <c r="K69" s="4">
        <f t="shared" si="1"/>
        <v>0</v>
      </c>
    </row>
    <row r="70" spans="1:11" s="119" customFormat="1" ht="12.75" thickBot="1">
      <c r="A70" s="884" t="s">
        <v>11</v>
      </c>
      <c r="B70" s="905" t="s">
        <v>303</v>
      </c>
      <c r="C70" s="1103">
        <f>+C10+C50</f>
        <v>19872</v>
      </c>
      <c r="D70" s="28">
        <f>+D10+D50</f>
        <v>15271</v>
      </c>
      <c r="E70" s="28">
        <f>+E10+E50</f>
        <v>14234</v>
      </c>
      <c r="F70" s="1551">
        <f t="shared" si="0"/>
        <v>0.93209351057560086</v>
      </c>
      <c r="G70" s="110">
        <f>+G10+G50</f>
        <v>14234</v>
      </c>
      <c r="H70" s="111">
        <f>+H10+H50</f>
        <v>0</v>
      </c>
      <c r="I70" s="112">
        <f>+I10+I50</f>
        <v>0</v>
      </c>
      <c r="K70" s="3">
        <f t="shared" si="1"/>
        <v>0</v>
      </c>
    </row>
    <row r="71" spans="1:11" s="119" customFormat="1" ht="12.75" thickBot="1">
      <c r="A71" s="884" t="s">
        <v>10</v>
      </c>
      <c r="B71" s="906" t="s">
        <v>304</v>
      </c>
      <c r="C71" s="1103">
        <f>+C72</f>
        <v>379478</v>
      </c>
      <c r="D71" s="28">
        <f>+D72</f>
        <v>405367</v>
      </c>
      <c r="E71" s="28">
        <f>+E72</f>
        <v>380810</v>
      </c>
      <c r="F71" s="1551">
        <f t="shared" si="0"/>
        <v>0.93942032775238238</v>
      </c>
      <c r="G71" s="110">
        <f>+G72</f>
        <v>380810</v>
      </c>
      <c r="H71" s="111">
        <f>+H72</f>
        <v>0</v>
      </c>
      <c r="I71" s="112">
        <f>+I72</f>
        <v>0</v>
      </c>
      <c r="K71" s="3">
        <f t="shared" si="1"/>
        <v>0</v>
      </c>
    </row>
    <row r="72" spans="1:11" s="119" customFormat="1" ht="12.75" thickBot="1">
      <c r="A72" s="884" t="s">
        <v>9</v>
      </c>
      <c r="B72" s="891" t="s">
        <v>920</v>
      </c>
      <c r="C72" s="1103">
        <f>+C73+C83+C84+C85</f>
        <v>379478</v>
      </c>
      <c r="D72" s="28">
        <f>+D73+D83+D84+D85</f>
        <v>405367</v>
      </c>
      <c r="E72" s="28">
        <f>+E73+E83+E84+E85</f>
        <v>380810</v>
      </c>
      <c r="F72" s="1551">
        <f t="shared" si="0"/>
        <v>0.93942032775238238</v>
      </c>
      <c r="G72" s="110">
        <f>+G73+G83+G84+G85</f>
        <v>380810</v>
      </c>
      <c r="H72" s="111">
        <f>+H73+H83+H84+H85</f>
        <v>0</v>
      </c>
      <c r="I72" s="112">
        <f>+I73+I83+I84+I85</f>
        <v>0</v>
      </c>
      <c r="K72" s="3">
        <f t="shared" si="1"/>
        <v>0</v>
      </c>
    </row>
    <row r="73" spans="1:11">
      <c r="A73" s="892" t="s">
        <v>73</v>
      </c>
      <c r="B73" s="113" t="s">
        <v>915</v>
      </c>
      <c r="C73" s="1104">
        <f>+C74+C75+C76+C77+C78+C79+C80+C81+C82</f>
        <v>379478</v>
      </c>
      <c r="D73" s="10">
        <f>+D74+D75+D76+D77+D78+D79+D80+D81+D82</f>
        <v>405367</v>
      </c>
      <c r="E73" s="10">
        <f>+E74+E75+E76+E77+E78+E79+E80+E81+E82</f>
        <v>380810</v>
      </c>
      <c r="F73" s="1552">
        <f t="shared" si="0"/>
        <v>0.93942032775238238</v>
      </c>
      <c r="G73" s="114">
        <f>+G74+G75+G76+G77+G78+G79+G80+G81+G82</f>
        <v>380810</v>
      </c>
      <c r="H73" s="115">
        <f>+H74+H75+H76+H77+H78+H79+H80+H81+H82</f>
        <v>0</v>
      </c>
      <c r="I73" s="116">
        <f>+I74+I75+I76+I77+I78+I79+I80+I81+I82</f>
        <v>0</v>
      </c>
      <c r="K73" s="4">
        <f t="shared" si="1"/>
        <v>0</v>
      </c>
    </row>
    <row r="74" spans="1:11" s="117" customFormat="1">
      <c r="A74" s="108" t="s">
        <v>196</v>
      </c>
      <c r="B74" s="109" t="s">
        <v>914</v>
      </c>
      <c r="C74" s="1105"/>
      <c r="D74" s="12"/>
      <c r="E74" s="12"/>
      <c r="F74" s="1553" t="str">
        <f t="shared" ref="F74:F102" si="2">IF(ISERROR(E74/D74),"-",E74/D74)</f>
        <v>-</v>
      </c>
      <c r="G74" s="656"/>
      <c r="H74" s="657"/>
      <c r="I74" s="658"/>
      <c r="K74" s="13">
        <f t="shared" ref="K74:K102" si="3">+E74-G74-H74-I74</f>
        <v>0</v>
      </c>
    </row>
    <row r="75" spans="1:11" s="117" customFormat="1">
      <c r="A75" s="108" t="s">
        <v>197</v>
      </c>
      <c r="B75" s="109" t="s">
        <v>247</v>
      </c>
      <c r="C75" s="1105"/>
      <c r="D75" s="12"/>
      <c r="E75" s="12"/>
      <c r="F75" s="1553" t="str">
        <f t="shared" si="2"/>
        <v>-</v>
      </c>
      <c r="G75" s="656"/>
      <c r="H75" s="657"/>
      <c r="I75" s="658"/>
      <c r="K75" s="13">
        <f t="shared" si="3"/>
        <v>0</v>
      </c>
    </row>
    <row r="76" spans="1:11" s="117" customFormat="1">
      <c r="A76" s="108" t="s">
        <v>198</v>
      </c>
      <c r="B76" s="109" t="s">
        <v>248</v>
      </c>
      <c r="C76" s="1105"/>
      <c r="D76" s="12">
        <f>0+206</f>
        <v>206</v>
      </c>
      <c r="E76" s="12">
        <v>206</v>
      </c>
      <c r="F76" s="1553">
        <f t="shared" si="2"/>
        <v>1</v>
      </c>
      <c r="G76" s="656">
        <v>206</v>
      </c>
      <c r="H76" s="657"/>
      <c r="I76" s="658"/>
      <c r="K76" s="13">
        <f t="shared" si="3"/>
        <v>0</v>
      </c>
    </row>
    <row r="77" spans="1:11" s="117" customFormat="1">
      <c r="A77" s="108" t="s">
        <v>199</v>
      </c>
      <c r="B77" s="109" t="s">
        <v>249</v>
      </c>
      <c r="C77" s="1105"/>
      <c r="D77" s="12"/>
      <c r="E77" s="12"/>
      <c r="F77" s="1553" t="str">
        <f t="shared" si="2"/>
        <v>-</v>
      </c>
      <c r="G77" s="656"/>
      <c r="H77" s="657"/>
      <c r="I77" s="658"/>
      <c r="K77" s="13">
        <f t="shared" si="3"/>
        <v>0</v>
      </c>
    </row>
    <row r="78" spans="1:11" s="117" customFormat="1">
      <c r="A78" s="108" t="s">
        <v>200</v>
      </c>
      <c r="B78" s="109" t="s">
        <v>250</v>
      </c>
      <c r="C78" s="1105"/>
      <c r="D78" s="12"/>
      <c r="E78" s="12"/>
      <c r="F78" s="1553" t="str">
        <f t="shared" si="2"/>
        <v>-</v>
      </c>
      <c r="G78" s="656"/>
      <c r="H78" s="657"/>
      <c r="I78" s="658"/>
      <c r="K78" s="13">
        <f t="shared" si="3"/>
        <v>0</v>
      </c>
    </row>
    <row r="79" spans="1:11" s="117" customFormat="1">
      <c r="A79" s="108" t="s">
        <v>201</v>
      </c>
      <c r="B79" s="109" t="s">
        <v>251</v>
      </c>
      <c r="C79" s="1105">
        <f t="shared" ref="C79" si="4">+C109-C10+C178-C74-C75-C76-C77-C78-C80-C81-C83-C84-C85</f>
        <v>379478</v>
      </c>
      <c r="D79" s="12">
        <f>411856-D94</f>
        <v>405161</v>
      </c>
      <c r="E79" s="12">
        <f>387299-E94</f>
        <v>380604</v>
      </c>
      <c r="F79" s="1553">
        <f t="shared" si="2"/>
        <v>0.93938952663262254</v>
      </c>
      <c r="G79" s="656">
        <v>380604</v>
      </c>
      <c r="H79" s="657"/>
      <c r="I79" s="658"/>
      <c r="K79" s="117">
        <f t="shared" si="3"/>
        <v>0</v>
      </c>
    </row>
    <row r="80" spans="1:11" s="117" customFormat="1">
      <c r="A80" s="108" t="s">
        <v>204</v>
      </c>
      <c r="B80" s="109" t="s">
        <v>252</v>
      </c>
      <c r="C80" s="1105"/>
      <c r="D80" s="12"/>
      <c r="E80" s="12"/>
      <c r="F80" s="1553" t="str">
        <f t="shared" si="2"/>
        <v>-</v>
      </c>
      <c r="G80" s="656"/>
      <c r="H80" s="657"/>
      <c r="I80" s="658"/>
      <c r="K80" s="117">
        <f t="shared" si="3"/>
        <v>0</v>
      </c>
    </row>
    <row r="81" spans="1:11" s="117" customFormat="1">
      <c r="A81" s="108" t="s">
        <v>202</v>
      </c>
      <c r="B81" s="109" t="s">
        <v>245</v>
      </c>
      <c r="C81" s="1105"/>
      <c r="D81" s="12"/>
      <c r="E81" s="12"/>
      <c r="F81" s="1553" t="str">
        <f t="shared" si="2"/>
        <v>-</v>
      </c>
      <c r="G81" s="656"/>
      <c r="H81" s="657"/>
      <c r="I81" s="658"/>
      <c r="K81" s="117">
        <f t="shared" si="3"/>
        <v>0</v>
      </c>
    </row>
    <row r="82" spans="1:11" s="117" customFormat="1">
      <c r="A82" s="108" t="s">
        <v>916</v>
      </c>
      <c r="B82" s="109" t="s">
        <v>917</v>
      </c>
      <c r="C82" s="1105"/>
      <c r="D82" s="12"/>
      <c r="E82" s="12"/>
      <c r="F82" s="1553" t="str">
        <f t="shared" si="2"/>
        <v>-</v>
      </c>
      <c r="G82" s="656"/>
      <c r="H82" s="657"/>
      <c r="I82" s="658"/>
      <c r="K82" s="117">
        <f t="shared" si="3"/>
        <v>0</v>
      </c>
    </row>
    <row r="83" spans="1:11">
      <c r="A83" s="896" t="s">
        <v>74</v>
      </c>
      <c r="B83" s="897" t="s">
        <v>243</v>
      </c>
      <c r="C83" s="1106"/>
      <c r="D83" s="11"/>
      <c r="E83" s="11"/>
      <c r="F83" s="1553" t="str">
        <f t="shared" si="2"/>
        <v>-</v>
      </c>
      <c r="G83" s="866"/>
      <c r="H83" s="867"/>
      <c r="I83" s="868"/>
      <c r="K83" s="118">
        <f t="shared" si="3"/>
        <v>0</v>
      </c>
    </row>
    <row r="84" spans="1:11">
      <c r="A84" s="898" t="s">
        <v>203</v>
      </c>
      <c r="B84" s="899" t="s">
        <v>244</v>
      </c>
      <c r="C84" s="1107"/>
      <c r="D84" s="22"/>
      <c r="E84" s="22"/>
      <c r="F84" s="1555" t="str">
        <f t="shared" si="2"/>
        <v>-</v>
      </c>
      <c r="G84" s="869"/>
      <c r="H84" s="870"/>
      <c r="I84" s="871"/>
      <c r="K84" s="118">
        <f t="shared" si="3"/>
        <v>0</v>
      </c>
    </row>
    <row r="85" spans="1:11" ht="12.75" thickBot="1">
      <c r="A85" s="898" t="s">
        <v>918</v>
      </c>
      <c r="B85" s="899" t="s">
        <v>919</v>
      </c>
      <c r="C85" s="1107"/>
      <c r="D85" s="22"/>
      <c r="E85" s="22"/>
      <c r="F85" s="1555" t="str">
        <f t="shared" si="2"/>
        <v>-</v>
      </c>
      <c r="G85" s="869"/>
      <c r="H85" s="870"/>
      <c r="I85" s="871"/>
      <c r="K85" s="118">
        <f t="shared" si="3"/>
        <v>0</v>
      </c>
    </row>
    <row r="86" spans="1:11" s="119" customFormat="1" ht="12.75" thickBot="1">
      <c r="A86" s="884" t="s">
        <v>45</v>
      </c>
      <c r="B86" s="906" t="s">
        <v>305</v>
      </c>
      <c r="C86" s="1103">
        <f>+C87</f>
        <v>800</v>
      </c>
      <c r="D86" s="28">
        <f>+D87</f>
        <v>6695</v>
      </c>
      <c r="E86" s="28">
        <f>+E87</f>
        <v>6695</v>
      </c>
      <c r="F86" s="1551">
        <f t="shared" si="2"/>
        <v>1</v>
      </c>
      <c r="G86" s="110">
        <f>+G87</f>
        <v>6695</v>
      </c>
      <c r="H86" s="111">
        <f>+H87</f>
        <v>0</v>
      </c>
      <c r="I86" s="112">
        <f>+I87</f>
        <v>0</v>
      </c>
      <c r="K86" s="119">
        <f t="shared" si="3"/>
        <v>0</v>
      </c>
    </row>
    <row r="87" spans="1:11" s="119" customFormat="1" ht="12.75" thickBot="1">
      <c r="A87" s="884" t="s">
        <v>44</v>
      </c>
      <c r="B87" s="891" t="s">
        <v>922</v>
      </c>
      <c r="C87" s="1103">
        <f>+C88+C98+C99+C100</f>
        <v>800</v>
      </c>
      <c r="D87" s="28">
        <f>+D88+D98+D99+D100</f>
        <v>6695</v>
      </c>
      <c r="E87" s="28">
        <f>+E88+E98+E99+E100</f>
        <v>6695</v>
      </c>
      <c r="F87" s="1551">
        <f t="shared" si="2"/>
        <v>1</v>
      </c>
      <c r="G87" s="110">
        <f>+G88+G98+G99+G100</f>
        <v>6695</v>
      </c>
      <c r="H87" s="111">
        <f>+H88+H98+H99+H100</f>
        <v>0</v>
      </c>
      <c r="I87" s="112">
        <f>+I88+I98+I99+I100</f>
        <v>0</v>
      </c>
      <c r="K87" s="119">
        <f t="shared" si="3"/>
        <v>0</v>
      </c>
    </row>
    <row r="88" spans="1:11">
      <c r="A88" s="892" t="s">
        <v>232</v>
      </c>
      <c r="B88" s="113" t="s">
        <v>977</v>
      </c>
      <c r="C88" s="1104">
        <f>+C89+C90+C91+C92+C93+C94+C95+C96+C97</f>
        <v>800</v>
      </c>
      <c r="D88" s="10">
        <f>+D89+D90+D91+D92+D93+D94+D95+D96+D97</f>
        <v>6695</v>
      </c>
      <c r="E88" s="10">
        <f>+E89+E90+E91+E92+E93+E94+E95+E96+E97</f>
        <v>6695</v>
      </c>
      <c r="F88" s="1552">
        <f t="shared" si="2"/>
        <v>1</v>
      </c>
      <c r="G88" s="114">
        <f>+G89+G90+G91+G92+G93+G94+G95+G96+G97</f>
        <v>6695</v>
      </c>
      <c r="H88" s="115">
        <f>+H89+H90+H91+H92+H93+H94+H95+H96+H97</f>
        <v>0</v>
      </c>
      <c r="I88" s="116">
        <f>+I89+I90+I91+I92+I93+I94+I95+I96+I97</f>
        <v>0</v>
      </c>
      <c r="K88" s="118">
        <f t="shared" si="3"/>
        <v>0</v>
      </c>
    </row>
    <row r="89" spans="1:11" s="117" customFormat="1">
      <c r="A89" s="108" t="s">
        <v>233</v>
      </c>
      <c r="B89" s="109" t="s">
        <v>914</v>
      </c>
      <c r="C89" s="1105"/>
      <c r="D89" s="12"/>
      <c r="E89" s="12"/>
      <c r="F89" s="1553" t="str">
        <f t="shared" si="2"/>
        <v>-</v>
      </c>
      <c r="G89" s="656"/>
      <c r="H89" s="657"/>
      <c r="I89" s="658"/>
      <c r="K89" s="117">
        <f t="shared" si="3"/>
        <v>0</v>
      </c>
    </row>
    <row r="90" spans="1:11" s="117" customFormat="1">
      <c r="A90" s="108" t="s">
        <v>234</v>
      </c>
      <c r="B90" s="109" t="s">
        <v>247</v>
      </c>
      <c r="C90" s="1105"/>
      <c r="D90" s="12"/>
      <c r="E90" s="12"/>
      <c r="F90" s="1553" t="str">
        <f t="shared" si="2"/>
        <v>-</v>
      </c>
      <c r="G90" s="656"/>
      <c r="H90" s="657"/>
      <c r="I90" s="658"/>
      <c r="K90" s="117">
        <f t="shared" si="3"/>
        <v>0</v>
      </c>
    </row>
    <row r="91" spans="1:11" s="117" customFormat="1">
      <c r="A91" s="108" t="s">
        <v>235</v>
      </c>
      <c r="B91" s="109" t="s">
        <v>248</v>
      </c>
      <c r="C91" s="1105"/>
      <c r="D91" s="12"/>
      <c r="E91" s="12"/>
      <c r="F91" s="1553" t="str">
        <f t="shared" si="2"/>
        <v>-</v>
      </c>
      <c r="G91" s="656"/>
      <c r="H91" s="657"/>
      <c r="I91" s="658"/>
      <c r="K91" s="117">
        <f t="shared" si="3"/>
        <v>0</v>
      </c>
    </row>
    <row r="92" spans="1:11" s="117" customFormat="1">
      <c r="A92" s="108" t="s">
        <v>236</v>
      </c>
      <c r="B92" s="109" t="s">
        <v>249</v>
      </c>
      <c r="C92" s="1105"/>
      <c r="D92" s="12"/>
      <c r="E92" s="12"/>
      <c r="F92" s="1553" t="str">
        <f t="shared" si="2"/>
        <v>-</v>
      </c>
      <c r="G92" s="656"/>
      <c r="H92" s="657"/>
      <c r="I92" s="658"/>
      <c r="K92" s="117">
        <f t="shared" si="3"/>
        <v>0</v>
      </c>
    </row>
    <row r="93" spans="1:11" s="117" customFormat="1">
      <c r="A93" s="108" t="s">
        <v>237</v>
      </c>
      <c r="B93" s="109" t="s">
        <v>250</v>
      </c>
      <c r="C93" s="1105"/>
      <c r="D93" s="12"/>
      <c r="E93" s="12"/>
      <c r="F93" s="1553" t="str">
        <f t="shared" si="2"/>
        <v>-</v>
      </c>
      <c r="G93" s="656"/>
      <c r="H93" s="657"/>
      <c r="I93" s="658"/>
      <c r="K93" s="117">
        <f t="shared" si="3"/>
        <v>0</v>
      </c>
    </row>
    <row r="94" spans="1:11" s="117" customFormat="1">
      <c r="A94" s="108" t="s">
        <v>238</v>
      </c>
      <c r="B94" s="109" t="s">
        <v>251</v>
      </c>
      <c r="C94" s="1105">
        <f t="shared" ref="C94:E94" si="5">+C149-C50+C192-C89-C90-C91-C92-C93-C95-C96-C98-C99-C100</f>
        <v>800</v>
      </c>
      <c r="D94" s="12">
        <f t="shared" si="5"/>
        <v>6695</v>
      </c>
      <c r="E94" s="12">
        <f t="shared" si="5"/>
        <v>6695</v>
      </c>
      <c r="F94" s="1554">
        <f t="shared" si="2"/>
        <v>1</v>
      </c>
      <c r="G94" s="656">
        <f>+G149-G50+G192-G89-G90-G91-G92-G93-G95-G96-G98-G99-G100</f>
        <v>6695</v>
      </c>
      <c r="H94" s="657">
        <f>+H149-H50+H192-H89-H90-H91-H92-H93-H95-H96-H98-H99-H100</f>
        <v>0</v>
      </c>
      <c r="I94" s="658">
        <f>+I149-I50+I192-I89-I90-I91-I92-I93-I95-I96-I98-I99-I100</f>
        <v>0</v>
      </c>
      <c r="K94" s="117">
        <f t="shared" si="3"/>
        <v>0</v>
      </c>
    </row>
    <row r="95" spans="1:11" s="117" customFormat="1">
      <c r="A95" s="108" t="s">
        <v>239</v>
      </c>
      <c r="B95" s="109" t="s">
        <v>252</v>
      </c>
      <c r="C95" s="1105"/>
      <c r="D95" s="12"/>
      <c r="E95" s="12"/>
      <c r="F95" s="1553" t="str">
        <f t="shared" si="2"/>
        <v>-</v>
      </c>
      <c r="G95" s="656"/>
      <c r="H95" s="657"/>
      <c r="I95" s="658"/>
      <c r="K95" s="13">
        <f t="shared" si="3"/>
        <v>0</v>
      </c>
    </row>
    <row r="96" spans="1:11" s="117" customFormat="1">
      <c r="A96" s="108" t="s">
        <v>240</v>
      </c>
      <c r="B96" s="109" t="s">
        <v>245</v>
      </c>
      <c r="C96" s="1105"/>
      <c r="D96" s="12"/>
      <c r="E96" s="12"/>
      <c r="F96" s="1553" t="str">
        <f t="shared" si="2"/>
        <v>-</v>
      </c>
      <c r="G96" s="656"/>
      <c r="H96" s="657"/>
      <c r="I96" s="658"/>
      <c r="K96" s="13">
        <f t="shared" si="3"/>
        <v>0</v>
      </c>
    </row>
    <row r="97" spans="1:11" s="117" customFormat="1">
      <c r="A97" s="108" t="s">
        <v>921</v>
      </c>
      <c r="B97" s="109" t="s">
        <v>917</v>
      </c>
      <c r="C97" s="1105"/>
      <c r="D97" s="12"/>
      <c r="E97" s="12"/>
      <c r="F97" s="1553" t="str">
        <f t="shared" si="2"/>
        <v>-</v>
      </c>
      <c r="G97" s="656"/>
      <c r="H97" s="657"/>
      <c r="I97" s="658"/>
      <c r="K97" s="13">
        <f t="shared" si="3"/>
        <v>0</v>
      </c>
    </row>
    <row r="98" spans="1:11">
      <c r="A98" s="896" t="s">
        <v>241</v>
      </c>
      <c r="B98" s="897" t="s">
        <v>243</v>
      </c>
      <c r="C98" s="1106"/>
      <c r="D98" s="11"/>
      <c r="E98" s="11"/>
      <c r="F98" s="1553" t="str">
        <f t="shared" si="2"/>
        <v>-</v>
      </c>
      <c r="G98" s="866"/>
      <c r="H98" s="867"/>
      <c r="I98" s="868"/>
      <c r="K98" s="4">
        <f t="shared" si="3"/>
        <v>0</v>
      </c>
    </row>
    <row r="99" spans="1:11">
      <c r="A99" s="898" t="s">
        <v>242</v>
      </c>
      <c r="B99" s="899" t="s">
        <v>244</v>
      </c>
      <c r="C99" s="1107"/>
      <c r="D99" s="22"/>
      <c r="E99" s="22"/>
      <c r="F99" s="1555" t="str">
        <f t="shared" si="2"/>
        <v>-</v>
      </c>
      <c r="G99" s="869"/>
      <c r="H99" s="870"/>
      <c r="I99" s="871"/>
      <c r="K99" s="4">
        <f t="shared" si="3"/>
        <v>0</v>
      </c>
    </row>
    <row r="100" spans="1:11" ht="12.75" thickBot="1">
      <c r="A100" s="898" t="s">
        <v>923</v>
      </c>
      <c r="B100" s="899" t="s">
        <v>919</v>
      </c>
      <c r="C100" s="1107"/>
      <c r="D100" s="22"/>
      <c r="E100" s="22"/>
      <c r="F100" s="1555" t="str">
        <f t="shared" si="2"/>
        <v>-</v>
      </c>
      <c r="G100" s="869"/>
      <c r="H100" s="870"/>
      <c r="I100" s="871"/>
      <c r="K100" s="4">
        <f t="shared" si="3"/>
        <v>0</v>
      </c>
    </row>
    <row r="101" spans="1:11" s="119" customFormat="1" ht="12.75" thickBot="1">
      <c r="A101" s="884" t="s">
        <v>43</v>
      </c>
      <c r="B101" s="905" t="s">
        <v>306</v>
      </c>
      <c r="C101" s="1103">
        <f>+C71+C86</f>
        <v>380278</v>
      </c>
      <c r="D101" s="28">
        <f>+D71+D86</f>
        <v>412062</v>
      </c>
      <c r="E101" s="28">
        <f>+E71+E86</f>
        <v>387505</v>
      </c>
      <c r="F101" s="1551">
        <f t="shared" si="2"/>
        <v>0.94040459930787113</v>
      </c>
      <c r="G101" s="110">
        <f>+G71+G86</f>
        <v>387505</v>
      </c>
      <c r="H101" s="111">
        <f>+H71+H86</f>
        <v>0</v>
      </c>
      <c r="I101" s="112">
        <f>+I71+I86</f>
        <v>0</v>
      </c>
      <c r="K101" s="3">
        <f t="shared" si="3"/>
        <v>0</v>
      </c>
    </row>
    <row r="102" spans="1:11" s="119" customFormat="1" ht="12.75" thickBot="1">
      <c r="A102" s="907" t="s">
        <v>40</v>
      </c>
      <c r="B102" s="908" t="s">
        <v>307</v>
      </c>
      <c r="C102" s="1109">
        <f>+C70+C101</f>
        <v>400150</v>
      </c>
      <c r="D102" s="25">
        <f>+D70+D101</f>
        <v>427333</v>
      </c>
      <c r="E102" s="25">
        <f>+E70+E101</f>
        <v>401739</v>
      </c>
      <c r="F102" s="1556">
        <f t="shared" si="2"/>
        <v>0.94010759758782958</v>
      </c>
      <c r="G102" s="909">
        <f>+G70+G101</f>
        <v>401739</v>
      </c>
      <c r="H102" s="910">
        <f>+H70+H101</f>
        <v>0</v>
      </c>
      <c r="I102" s="911">
        <f>+I70+I101</f>
        <v>0</v>
      </c>
      <c r="K102" s="3">
        <f t="shared" si="3"/>
        <v>0</v>
      </c>
    </row>
    <row r="103" spans="1:11" s="119" customFormat="1">
      <c r="A103" s="912"/>
      <c r="B103" s="913"/>
      <c r="C103" s="30"/>
      <c r="D103" s="30"/>
      <c r="E103" s="30"/>
      <c r="F103" s="1548"/>
      <c r="G103" s="913"/>
      <c r="H103" s="913"/>
      <c r="I103" s="913"/>
      <c r="K103" s="3"/>
    </row>
    <row r="104" spans="1:11" s="119" customFormat="1">
      <c r="A104" s="912"/>
      <c r="B104" s="913"/>
      <c r="C104" s="30"/>
      <c r="D104" s="30"/>
      <c r="E104" s="30"/>
      <c r="F104" s="1557"/>
      <c r="G104" s="913"/>
      <c r="H104" s="913"/>
      <c r="I104" s="913"/>
      <c r="K104" s="3"/>
    </row>
    <row r="105" spans="1:11" s="874" customFormat="1" ht="15.75">
      <c r="A105" s="1794" t="s">
        <v>80</v>
      </c>
      <c r="B105" s="1794"/>
      <c r="C105" s="1794"/>
      <c r="D105" s="1794"/>
      <c r="E105" s="1794"/>
      <c r="F105" s="1794"/>
      <c r="G105" s="1794"/>
      <c r="H105" s="1794"/>
      <c r="I105" s="1794"/>
      <c r="K105" s="52"/>
    </row>
    <row r="106" spans="1:11" s="876" customFormat="1" ht="12.75" thickBot="1">
      <c r="A106" s="875" t="s">
        <v>279</v>
      </c>
      <c r="C106" s="36"/>
      <c r="D106" s="36"/>
      <c r="E106" s="36"/>
      <c r="F106" s="1548"/>
      <c r="I106" s="877" t="s">
        <v>281</v>
      </c>
      <c r="K106" s="36"/>
    </row>
    <row r="107" spans="1:11" s="119" customFormat="1" ht="48.75" thickBot="1">
      <c r="A107" s="878" t="s">
        <v>17</v>
      </c>
      <c r="B107" s="914" t="s">
        <v>329</v>
      </c>
      <c r="C107" s="1572" t="s">
        <v>1553</v>
      </c>
      <c r="D107" s="1571" t="s">
        <v>1554</v>
      </c>
      <c r="E107" s="6" t="s">
        <v>2646</v>
      </c>
      <c r="F107" s="1549" t="s">
        <v>2645</v>
      </c>
      <c r="G107" s="5" t="s">
        <v>51</v>
      </c>
      <c r="H107" s="6" t="s">
        <v>52</v>
      </c>
      <c r="I107" s="7" t="s">
        <v>53</v>
      </c>
      <c r="K107" s="3"/>
    </row>
    <row r="108" spans="1:11" s="119" customFormat="1" ht="13.5" customHeight="1" thickBot="1">
      <c r="A108" s="915" t="s">
        <v>253</v>
      </c>
      <c r="B108" s="916" t="s">
        <v>254</v>
      </c>
      <c r="C108" s="1795" t="s">
        <v>255</v>
      </c>
      <c r="D108" s="1796"/>
      <c r="E108" s="1796"/>
      <c r="F108" s="1796"/>
      <c r="G108" s="1796"/>
      <c r="H108" s="1796"/>
      <c r="I108" s="1797"/>
      <c r="K108" s="3"/>
    </row>
    <row r="109" spans="1:11" s="119" customFormat="1" ht="12.75" thickBot="1">
      <c r="A109" s="884" t="s">
        <v>4</v>
      </c>
      <c r="B109" s="905" t="s">
        <v>308</v>
      </c>
      <c r="C109" s="1103">
        <f>+C110+C114+C116+C123+C132</f>
        <v>399350</v>
      </c>
      <c r="D109" s="28">
        <f>+D110+D114+D116+D123+D132</f>
        <v>420638</v>
      </c>
      <c r="E109" s="28">
        <f>+E110+E114+E116+E123+E132</f>
        <v>394934</v>
      </c>
      <c r="F109" s="1558">
        <f t="shared" ref="F109:F172" si="6">IF(ISERROR(E109/D109),"-",E109/D109)</f>
        <v>0.93889282470913227</v>
      </c>
      <c r="G109" s="110">
        <f>+G110+G114+G116+G123+G132</f>
        <v>394934</v>
      </c>
      <c r="H109" s="111">
        <f>+H110+H114+H116+H123+H132</f>
        <v>0</v>
      </c>
      <c r="I109" s="112">
        <f>+I110+I114+I116+I123+I132</f>
        <v>0</v>
      </c>
      <c r="K109" s="3">
        <f t="shared" ref="K109:K172" si="7">+E109-G109-H109-I109</f>
        <v>0</v>
      </c>
    </row>
    <row r="110" spans="1:11" s="119" customFormat="1" ht="12.75" thickBot="1">
      <c r="A110" s="884" t="s">
        <v>5</v>
      </c>
      <c r="B110" s="891" t="s">
        <v>309</v>
      </c>
      <c r="C110" s="1103">
        <f>+C112+C113</f>
        <v>235721</v>
      </c>
      <c r="D110" s="28">
        <f>+D112+D113</f>
        <v>240562</v>
      </c>
      <c r="E110" s="28">
        <f>+E112+E113</f>
        <v>229169</v>
      </c>
      <c r="F110" s="1558">
        <f t="shared" si="6"/>
        <v>0.95264006784113864</v>
      </c>
      <c r="G110" s="110">
        <f>+G112+G113</f>
        <v>229169</v>
      </c>
      <c r="H110" s="111">
        <f>+H112+H113</f>
        <v>0</v>
      </c>
      <c r="I110" s="112">
        <f>+I112+I113</f>
        <v>0</v>
      </c>
      <c r="K110" s="3">
        <f t="shared" si="7"/>
        <v>0</v>
      </c>
    </row>
    <row r="111" spans="1:11" s="876" customFormat="1">
      <c r="A111" s="917" t="s">
        <v>349</v>
      </c>
      <c r="B111" s="918" t="s">
        <v>350</v>
      </c>
      <c r="C111" s="1110"/>
      <c r="D111" s="97"/>
      <c r="E111" s="97"/>
      <c r="F111" s="1559" t="str">
        <f t="shared" si="6"/>
        <v>-</v>
      </c>
      <c r="G111" s="919"/>
      <c r="H111" s="920"/>
      <c r="I111" s="921"/>
      <c r="K111" s="36">
        <f t="shared" si="7"/>
        <v>0</v>
      </c>
    </row>
    <row r="112" spans="1:11">
      <c r="A112" s="892" t="s">
        <v>54</v>
      </c>
      <c r="B112" s="113" t="s">
        <v>127</v>
      </c>
      <c r="C112" s="1104">
        <v>235621</v>
      </c>
      <c r="D112" s="10">
        <v>239456</v>
      </c>
      <c r="E112" s="10">
        <v>229163</v>
      </c>
      <c r="F112" s="1560">
        <f t="shared" si="6"/>
        <v>0.95701506748630227</v>
      </c>
      <c r="G112" s="114">
        <v>229163</v>
      </c>
      <c r="H112" s="115"/>
      <c r="I112" s="116"/>
      <c r="K112" s="4">
        <f t="shared" si="7"/>
        <v>0</v>
      </c>
    </row>
    <row r="113" spans="1:11" ht="12.75" thickBot="1">
      <c r="A113" s="898" t="s">
        <v>55</v>
      </c>
      <c r="B113" s="899" t="s">
        <v>128</v>
      </c>
      <c r="C113" s="1107">
        <v>100</v>
      </c>
      <c r="D113" s="22">
        <v>1106</v>
      </c>
      <c r="E113" s="22">
        <v>6</v>
      </c>
      <c r="F113" s="1561">
        <f t="shared" si="6"/>
        <v>5.4249547920433997E-3</v>
      </c>
      <c r="G113" s="869">
        <v>6</v>
      </c>
      <c r="H113" s="870"/>
      <c r="I113" s="871"/>
      <c r="K113" s="4">
        <f t="shared" si="7"/>
        <v>0</v>
      </c>
    </row>
    <row r="114" spans="1:11" s="119" customFormat="1" ht="12.75" thickBot="1">
      <c r="A114" s="884" t="s">
        <v>6</v>
      </c>
      <c r="B114" s="891" t="s">
        <v>256</v>
      </c>
      <c r="C114" s="1103">
        <v>51022</v>
      </c>
      <c r="D114" s="28">
        <f>56386-1</f>
        <v>56385</v>
      </c>
      <c r="E114" s="28">
        <v>47285</v>
      </c>
      <c r="F114" s="1558">
        <f t="shared" si="6"/>
        <v>0.83860955927995029</v>
      </c>
      <c r="G114" s="110">
        <v>47285</v>
      </c>
      <c r="H114" s="111"/>
      <c r="I114" s="112"/>
      <c r="K114" s="3">
        <f t="shared" si="7"/>
        <v>0</v>
      </c>
    </row>
    <row r="115" spans="1:11" s="876" customFormat="1" ht="12.75" thickBot="1">
      <c r="A115" s="917" t="s">
        <v>346</v>
      </c>
      <c r="B115" s="918" t="s">
        <v>347</v>
      </c>
      <c r="C115" s="1110"/>
      <c r="D115" s="97"/>
      <c r="E115" s="97"/>
      <c r="F115" s="1559" t="str">
        <f t="shared" si="6"/>
        <v>-</v>
      </c>
      <c r="G115" s="919"/>
      <c r="H115" s="920"/>
      <c r="I115" s="921"/>
      <c r="K115" s="36">
        <f t="shared" si="7"/>
        <v>0</v>
      </c>
    </row>
    <row r="116" spans="1:11" s="119" customFormat="1" ht="12.75" thickBot="1">
      <c r="A116" s="884" t="s">
        <v>3</v>
      </c>
      <c r="B116" s="891" t="s">
        <v>343</v>
      </c>
      <c r="C116" s="1103">
        <f>+C118+C119+C120+C121+C122</f>
        <v>112607</v>
      </c>
      <c r="D116" s="28">
        <f>+D118+D119+D120+D121+D122</f>
        <v>123485</v>
      </c>
      <c r="E116" s="28">
        <f>+E118+E119+E120+E121+E122</f>
        <v>118274</v>
      </c>
      <c r="F116" s="1558">
        <f t="shared" si="6"/>
        <v>0.95780054257602143</v>
      </c>
      <c r="G116" s="110">
        <f>+G118+G119+G120+G121+G122</f>
        <v>118274</v>
      </c>
      <c r="H116" s="111">
        <f>+H118+H119+H120+H121+H122</f>
        <v>0</v>
      </c>
      <c r="I116" s="112">
        <f>+I118+I119+I120+I121+I122</f>
        <v>0</v>
      </c>
      <c r="K116" s="3">
        <f t="shared" si="7"/>
        <v>0</v>
      </c>
    </row>
    <row r="117" spans="1:11" s="876" customFormat="1">
      <c r="A117" s="917" t="s">
        <v>341</v>
      </c>
      <c r="B117" s="918" t="s">
        <v>348</v>
      </c>
      <c r="C117" s="1110"/>
      <c r="D117" s="97"/>
      <c r="E117" s="97"/>
      <c r="F117" s="1559" t="str">
        <f t="shared" si="6"/>
        <v>-</v>
      </c>
      <c r="G117" s="919"/>
      <c r="H117" s="920"/>
      <c r="I117" s="921"/>
      <c r="K117" s="36">
        <f t="shared" si="7"/>
        <v>0</v>
      </c>
    </row>
    <row r="118" spans="1:11">
      <c r="A118" s="892" t="s">
        <v>61</v>
      </c>
      <c r="B118" s="113" t="s">
        <v>129</v>
      </c>
      <c r="C118" s="1117">
        <v>5466</v>
      </c>
      <c r="D118" s="114">
        <v>4375</v>
      </c>
      <c r="E118" s="10">
        <v>3972</v>
      </c>
      <c r="F118" s="1560">
        <f t="shared" si="6"/>
        <v>0.9078857142857143</v>
      </c>
      <c r="G118" s="114">
        <v>3972</v>
      </c>
      <c r="H118" s="115"/>
      <c r="I118" s="116"/>
      <c r="K118" s="4">
        <f t="shared" si="7"/>
        <v>0</v>
      </c>
    </row>
    <row r="119" spans="1:11">
      <c r="A119" s="896" t="s">
        <v>62</v>
      </c>
      <c r="B119" s="897" t="s">
        <v>130</v>
      </c>
      <c r="C119" s="926">
        <v>2223</v>
      </c>
      <c r="D119" s="866">
        <v>2373</v>
      </c>
      <c r="E119" s="11">
        <v>2373</v>
      </c>
      <c r="F119" s="1562">
        <f t="shared" si="6"/>
        <v>1</v>
      </c>
      <c r="G119" s="866">
        <v>2373</v>
      </c>
      <c r="H119" s="867"/>
      <c r="I119" s="868"/>
      <c r="K119" s="4">
        <f t="shared" si="7"/>
        <v>0</v>
      </c>
    </row>
    <row r="120" spans="1:11">
      <c r="A120" s="896" t="s">
        <v>63</v>
      </c>
      <c r="B120" s="897" t="s">
        <v>131</v>
      </c>
      <c r="C120" s="926">
        <v>82117</v>
      </c>
      <c r="D120" s="866">
        <v>91247</v>
      </c>
      <c r="E120" s="11">
        <v>87454</v>
      </c>
      <c r="F120" s="1562">
        <f t="shared" si="6"/>
        <v>0.95843151007704364</v>
      </c>
      <c r="G120" s="866">
        <v>87454</v>
      </c>
      <c r="H120" s="867"/>
      <c r="I120" s="868"/>
      <c r="K120" s="4">
        <f t="shared" si="7"/>
        <v>0</v>
      </c>
    </row>
    <row r="121" spans="1:11">
      <c r="A121" s="896" t="s">
        <v>64</v>
      </c>
      <c r="B121" s="897" t="s">
        <v>132</v>
      </c>
      <c r="C121" s="926"/>
      <c r="D121" s="866">
        <v>100</v>
      </c>
      <c r="E121" s="11">
        <v>29</v>
      </c>
      <c r="F121" s="1562">
        <f t="shared" si="6"/>
        <v>0.28999999999999998</v>
      </c>
      <c r="G121" s="866">
        <v>29</v>
      </c>
      <c r="H121" s="867"/>
      <c r="I121" s="868"/>
      <c r="K121" s="4">
        <f t="shared" si="7"/>
        <v>0</v>
      </c>
    </row>
    <row r="122" spans="1:11" ht="12.75" thickBot="1">
      <c r="A122" s="898" t="s">
        <v>65</v>
      </c>
      <c r="B122" s="899" t="s">
        <v>133</v>
      </c>
      <c r="C122" s="928">
        <v>22801</v>
      </c>
      <c r="D122" s="934">
        <f>25389+1</f>
        <v>25390</v>
      </c>
      <c r="E122" s="17">
        <v>24446</v>
      </c>
      <c r="F122" s="1561">
        <f t="shared" si="6"/>
        <v>0.96282000787711697</v>
      </c>
      <c r="G122" s="869">
        <v>24446</v>
      </c>
      <c r="H122" s="870"/>
      <c r="I122" s="871"/>
      <c r="K122" s="4">
        <f t="shared" si="7"/>
        <v>0</v>
      </c>
    </row>
    <row r="123" spans="1:11" s="119" customFormat="1" ht="12.75" thickBot="1">
      <c r="A123" s="884" t="s">
        <v>16</v>
      </c>
      <c r="B123" s="891" t="s">
        <v>310</v>
      </c>
      <c r="C123" s="1103">
        <f>+C124+C125+C126+C127+C128+C129+C130+C131</f>
        <v>0</v>
      </c>
      <c r="D123" s="28">
        <f>+D124+D125+D126+D127+D128+D129+D130+D131</f>
        <v>0</v>
      </c>
      <c r="E123" s="28">
        <f>+E124+E125+E126+E127+E128+E129+E130+E131</f>
        <v>0</v>
      </c>
      <c r="F123" s="1558" t="str">
        <f t="shared" si="6"/>
        <v>-</v>
      </c>
      <c r="G123" s="110">
        <f>+G124+G125+G126+G127+G128+G129+G130+G131</f>
        <v>0</v>
      </c>
      <c r="H123" s="111">
        <f>+H124+H125+H126+H127+H128+H129+H130+H131</f>
        <v>0</v>
      </c>
      <c r="I123" s="112">
        <f>+I124+I125+I126+I127+I128+I129+I130+I131</f>
        <v>0</v>
      </c>
      <c r="K123" s="3">
        <f t="shared" si="7"/>
        <v>0</v>
      </c>
    </row>
    <row r="124" spans="1:11">
      <c r="A124" s="892" t="s">
        <v>227</v>
      </c>
      <c r="B124" s="113" t="s">
        <v>134</v>
      </c>
      <c r="C124" s="1104"/>
      <c r="D124" s="10"/>
      <c r="E124" s="10"/>
      <c r="F124" s="1560" t="str">
        <f t="shared" si="6"/>
        <v>-</v>
      </c>
      <c r="G124" s="114"/>
      <c r="H124" s="115"/>
      <c r="I124" s="116"/>
      <c r="K124" s="4">
        <f t="shared" si="7"/>
        <v>0</v>
      </c>
    </row>
    <row r="125" spans="1:11">
      <c r="A125" s="896" t="s">
        <v>228</v>
      </c>
      <c r="B125" s="897" t="s">
        <v>135</v>
      </c>
      <c r="C125" s="1106"/>
      <c r="D125" s="11"/>
      <c r="E125" s="11"/>
      <c r="F125" s="1562" t="str">
        <f t="shared" si="6"/>
        <v>-</v>
      </c>
      <c r="G125" s="866"/>
      <c r="H125" s="867"/>
      <c r="I125" s="868"/>
      <c r="K125" s="4">
        <f t="shared" si="7"/>
        <v>0</v>
      </c>
    </row>
    <row r="126" spans="1:11">
      <c r="A126" s="896" t="s">
        <v>229</v>
      </c>
      <c r="B126" s="897" t="s">
        <v>136</v>
      </c>
      <c r="C126" s="1106"/>
      <c r="D126" s="11"/>
      <c r="E126" s="11"/>
      <c r="F126" s="1562" t="str">
        <f t="shared" si="6"/>
        <v>-</v>
      </c>
      <c r="G126" s="866"/>
      <c r="H126" s="867"/>
      <c r="I126" s="868"/>
      <c r="K126" s="4">
        <f t="shared" si="7"/>
        <v>0</v>
      </c>
    </row>
    <row r="127" spans="1:11">
      <c r="A127" s="896" t="s">
        <v>257</v>
      </c>
      <c r="B127" s="897" t="s">
        <v>137</v>
      </c>
      <c r="C127" s="1106"/>
      <c r="D127" s="11"/>
      <c r="E127" s="11"/>
      <c r="F127" s="1562" t="str">
        <f t="shared" si="6"/>
        <v>-</v>
      </c>
      <c r="G127" s="866"/>
      <c r="H127" s="867"/>
      <c r="I127" s="868"/>
      <c r="K127" s="4">
        <f t="shared" si="7"/>
        <v>0</v>
      </c>
    </row>
    <row r="128" spans="1:11">
      <c r="A128" s="896" t="s">
        <v>258</v>
      </c>
      <c r="B128" s="897" t="s">
        <v>138</v>
      </c>
      <c r="C128" s="1106"/>
      <c r="D128" s="11"/>
      <c r="E128" s="11"/>
      <c r="F128" s="1562" t="str">
        <f t="shared" si="6"/>
        <v>-</v>
      </c>
      <c r="G128" s="866"/>
      <c r="H128" s="867"/>
      <c r="I128" s="868"/>
      <c r="K128" s="4">
        <f t="shared" si="7"/>
        <v>0</v>
      </c>
    </row>
    <row r="129" spans="1:11">
      <c r="A129" s="896" t="s">
        <v>259</v>
      </c>
      <c r="B129" s="897" t="s">
        <v>139</v>
      </c>
      <c r="C129" s="1106"/>
      <c r="D129" s="11"/>
      <c r="E129" s="11"/>
      <c r="F129" s="1562" t="str">
        <f t="shared" si="6"/>
        <v>-</v>
      </c>
      <c r="G129" s="866"/>
      <c r="H129" s="867"/>
      <c r="I129" s="868"/>
      <c r="K129" s="4">
        <f t="shared" si="7"/>
        <v>0</v>
      </c>
    </row>
    <row r="130" spans="1:11">
      <c r="A130" s="896" t="s">
        <v>260</v>
      </c>
      <c r="B130" s="897" t="s">
        <v>140</v>
      </c>
      <c r="C130" s="1106"/>
      <c r="D130" s="11"/>
      <c r="E130" s="11"/>
      <c r="F130" s="1562" t="str">
        <f t="shared" si="6"/>
        <v>-</v>
      </c>
      <c r="G130" s="866"/>
      <c r="H130" s="867"/>
      <c r="I130" s="868"/>
      <c r="K130" s="4">
        <f t="shared" si="7"/>
        <v>0</v>
      </c>
    </row>
    <row r="131" spans="1:11" ht="12.75" thickBot="1">
      <c r="A131" s="898" t="s">
        <v>261</v>
      </c>
      <c r="B131" s="899" t="s">
        <v>141</v>
      </c>
      <c r="C131" s="1107"/>
      <c r="D131" s="22"/>
      <c r="E131" s="22"/>
      <c r="F131" s="1561" t="str">
        <f t="shared" si="6"/>
        <v>-</v>
      </c>
      <c r="G131" s="869"/>
      <c r="H131" s="870"/>
      <c r="I131" s="871"/>
      <c r="K131" s="4">
        <f t="shared" si="7"/>
        <v>0</v>
      </c>
    </row>
    <row r="132" spans="1:11" s="119" customFormat="1" ht="12.75" thickBot="1">
      <c r="A132" s="884" t="s">
        <v>15</v>
      </c>
      <c r="B132" s="891" t="s">
        <v>927</v>
      </c>
      <c r="C132" s="1103">
        <f>+C133+C134+C135+C136+C137+C138+C140+C141+C142+C143+C144+C145+C146</f>
        <v>0</v>
      </c>
      <c r="D132" s="28">
        <f>+D133+D134+D135+D136+D137+D138+D140+D141+D142+D143+D144+D145+D146</f>
        <v>206</v>
      </c>
      <c r="E132" s="28">
        <f>+E133+E134+E135+E136+E137+E138+E140+E141+E142+E143+E144+E145+E146</f>
        <v>206</v>
      </c>
      <c r="F132" s="1558">
        <f t="shared" si="6"/>
        <v>1</v>
      </c>
      <c r="G132" s="110">
        <f>+G133+G134+G135+G136+G137+G138+G140+G141+G142+G143+G144+G145+G146</f>
        <v>206</v>
      </c>
      <c r="H132" s="111">
        <f>+H133+H134+H135+H136+H137+H138+H140+H141+H142+H143+H144+H145+H146</f>
        <v>0</v>
      </c>
      <c r="I132" s="112">
        <f>+I133+I134+I135+I136+I137+I138+I140+I141+I142+I143+I144+I145+I146</f>
        <v>0</v>
      </c>
      <c r="K132" s="3">
        <f t="shared" si="7"/>
        <v>0</v>
      </c>
    </row>
    <row r="133" spans="1:11">
      <c r="A133" s="892" t="s">
        <v>87</v>
      </c>
      <c r="B133" s="113" t="s">
        <v>142</v>
      </c>
      <c r="C133" s="1104"/>
      <c r="D133" s="10"/>
      <c r="E133" s="10"/>
      <c r="F133" s="1560" t="str">
        <f t="shared" si="6"/>
        <v>-</v>
      </c>
      <c r="G133" s="114"/>
      <c r="H133" s="115"/>
      <c r="I133" s="116"/>
      <c r="K133" s="4">
        <f t="shared" si="7"/>
        <v>0</v>
      </c>
    </row>
    <row r="134" spans="1:11">
      <c r="A134" s="896" t="s">
        <v>88</v>
      </c>
      <c r="B134" s="897" t="s">
        <v>143</v>
      </c>
      <c r="C134" s="1106"/>
      <c r="D134" s="11">
        <f>0+206</f>
        <v>206</v>
      </c>
      <c r="E134" s="11">
        <v>206</v>
      </c>
      <c r="F134" s="1562">
        <f t="shared" si="6"/>
        <v>1</v>
      </c>
      <c r="G134" s="866">
        <v>206</v>
      </c>
      <c r="H134" s="867"/>
      <c r="I134" s="868"/>
      <c r="K134" s="4">
        <f t="shared" si="7"/>
        <v>0</v>
      </c>
    </row>
    <row r="135" spans="1:11">
      <c r="A135" s="896" t="s">
        <v>182</v>
      </c>
      <c r="B135" s="897" t="s">
        <v>144</v>
      </c>
      <c r="C135" s="1106"/>
      <c r="D135" s="11"/>
      <c r="E135" s="11"/>
      <c r="F135" s="1562" t="str">
        <f t="shared" si="6"/>
        <v>-</v>
      </c>
      <c r="G135" s="866"/>
      <c r="H135" s="867"/>
      <c r="I135" s="868"/>
      <c r="K135" s="4">
        <f t="shared" si="7"/>
        <v>0</v>
      </c>
    </row>
    <row r="136" spans="1:11">
      <c r="A136" s="896" t="s">
        <v>183</v>
      </c>
      <c r="B136" s="897" t="s">
        <v>145</v>
      </c>
      <c r="C136" s="1106"/>
      <c r="D136" s="11"/>
      <c r="E136" s="11"/>
      <c r="F136" s="1562" t="str">
        <f t="shared" si="6"/>
        <v>-</v>
      </c>
      <c r="G136" s="866"/>
      <c r="H136" s="867"/>
      <c r="I136" s="868"/>
      <c r="K136" s="4">
        <f t="shared" si="7"/>
        <v>0</v>
      </c>
    </row>
    <row r="137" spans="1:11">
      <c r="A137" s="896" t="s">
        <v>184</v>
      </c>
      <c r="B137" s="897" t="s">
        <v>146</v>
      </c>
      <c r="C137" s="1106"/>
      <c r="D137" s="11"/>
      <c r="E137" s="11"/>
      <c r="F137" s="1562" t="str">
        <f t="shared" si="6"/>
        <v>-</v>
      </c>
      <c r="G137" s="866"/>
      <c r="H137" s="867"/>
      <c r="I137" s="868"/>
      <c r="K137" s="4">
        <f t="shared" si="7"/>
        <v>0</v>
      </c>
    </row>
    <row r="138" spans="1:11">
      <c r="A138" s="896" t="s">
        <v>262</v>
      </c>
      <c r="B138" s="897" t="s">
        <v>147</v>
      </c>
      <c r="C138" s="1106"/>
      <c r="D138" s="11"/>
      <c r="E138" s="11"/>
      <c r="F138" s="1562" t="str">
        <f t="shared" si="6"/>
        <v>-</v>
      </c>
      <c r="G138" s="866"/>
      <c r="H138" s="867"/>
      <c r="I138" s="868"/>
      <c r="K138" s="4">
        <f t="shared" si="7"/>
        <v>0</v>
      </c>
    </row>
    <row r="139" spans="1:11" s="117" customFormat="1">
      <c r="A139" s="900" t="s">
        <v>336</v>
      </c>
      <c r="B139" s="901" t="s">
        <v>933</v>
      </c>
      <c r="C139" s="1108"/>
      <c r="D139" s="43"/>
      <c r="E139" s="43"/>
      <c r="F139" s="1561" t="str">
        <f t="shared" si="6"/>
        <v>-</v>
      </c>
      <c r="G139" s="902"/>
      <c r="H139" s="903"/>
      <c r="I139" s="904"/>
      <c r="K139" s="13">
        <f t="shared" si="7"/>
        <v>0</v>
      </c>
    </row>
    <row r="140" spans="1:11">
      <c r="A140" s="896" t="s">
        <v>263</v>
      </c>
      <c r="B140" s="897" t="s">
        <v>148</v>
      </c>
      <c r="C140" s="1106"/>
      <c r="D140" s="11"/>
      <c r="E140" s="11"/>
      <c r="F140" s="1562" t="str">
        <f t="shared" si="6"/>
        <v>-</v>
      </c>
      <c r="G140" s="866"/>
      <c r="H140" s="867"/>
      <c r="I140" s="868"/>
      <c r="K140" s="4">
        <f t="shared" si="7"/>
        <v>0</v>
      </c>
    </row>
    <row r="141" spans="1:11">
      <c r="A141" s="896" t="s">
        <v>264</v>
      </c>
      <c r="B141" s="897" t="s">
        <v>149</v>
      </c>
      <c r="C141" s="1106"/>
      <c r="D141" s="11"/>
      <c r="E141" s="11"/>
      <c r="F141" s="1562" t="str">
        <f t="shared" si="6"/>
        <v>-</v>
      </c>
      <c r="G141" s="866"/>
      <c r="H141" s="867"/>
      <c r="I141" s="868"/>
      <c r="K141" s="4">
        <f t="shared" si="7"/>
        <v>0</v>
      </c>
    </row>
    <row r="142" spans="1:11">
      <c r="A142" s="896" t="s">
        <v>265</v>
      </c>
      <c r="B142" s="897" t="s">
        <v>150</v>
      </c>
      <c r="C142" s="1106"/>
      <c r="D142" s="11"/>
      <c r="E142" s="11"/>
      <c r="F142" s="1562" t="str">
        <f t="shared" si="6"/>
        <v>-</v>
      </c>
      <c r="G142" s="866"/>
      <c r="H142" s="867"/>
      <c r="I142" s="868"/>
      <c r="K142" s="4">
        <f t="shared" si="7"/>
        <v>0</v>
      </c>
    </row>
    <row r="143" spans="1:11">
      <c r="A143" s="896" t="s">
        <v>266</v>
      </c>
      <c r="B143" s="897" t="s">
        <v>151</v>
      </c>
      <c r="C143" s="1106"/>
      <c r="D143" s="11"/>
      <c r="E143" s="11"/>
      <c r="F143" s="1562" t="str">
        <f t="shared" si="6"/>
        <v>-</v>
      </c>
      <c r="G143" s="866"/>
      <c r="H143" s="867"/>
      <c r="I143" s="868"/>
      <c r="K143" s="4">
        <f t="shared" si="7"/>
        <v>0</v>
      </c>
    </row>
    <row r="144" spans="1:11">
      <c r="A144" s="896" t="s">
        <v>267</v>
      </c>
      <c r="B144" s="897" t="s">
        <v>928</v>
      </c>
      <c r="C144" s="1106"/>
      <c r="D144" s="11"/>
      <c r="E144" s="11"/>
      <c r="F144" s="1562" t="str">
        <f t="shared" si="6"/>
        <v>-</v>
      </c>
      <c r="G144" s="866"/>
      <c r="H144" s="867"/>
      <c r="I144" s="868"/>
      <c r="K144" s="4">
        <f t="shared" si="7"/>
        <v>0</v>
      </c>
    </row>
    <row r="145" spans="1:11">
      <c r="A145" s="896" t="s">
        <v>268</v>
      </c>
      <c r="B145" s="897" t="s">
        <v>929</v>
      </c>
      <c r="C145" s="1106"/>
      <c r="D145" s="11"/>
      <c r="E145" s="11"/>
      <c r="F145" s="1562" t="str">
        <f t="shared" si="6"/>
        <v>-</v>
      </c>
      <c r="G145" s="866"/>
      <c r="H145" s="867"/>
      <c r="I145" s="868"/>
      <c r="K145" s="4">
        <f t="shared" si="7"/>
        <v>0</v>
      </c>
    </row>
    <row r="146" spans="1:11">
      <c r="A146" s="898" t="s">
        <v>924</v>
      </c>
      <c r="B146" s="899" t="s">
        <v>930</v>
      </c>
      <c r="C146" s="1107">
        <f>+C147+C148</f>
        <v>0</v>
      </c>
      <c r="D146" s="22">
        <f>+D147+D148</f>
        <v>0</v>
      </c>
      <c r="E146" s="22">
        <f>+E147+E148</f>
        <v>0</v>
      </c>
      <c r="F146" s="1561" t="str">
        <f t="shared" si="6"/>
        <v>-</v>
      </c>
      <c r="G146" s="869">
        <f>+G147+G148</f>
        <v>0</v>
      </c>
      <c r="H146" s="870">
        <f>+H147+H148</f>
        <v>0</v>
      </c>
      <c r="I146" s="871">
        <f>+I147+I148</f>
        <v>0</v>
      </c>
      <c r="K146" s="4">
        <f t="shared" si="7"/>
        <v>0</v>
      </c>
    </row>
    <row r="147" spans="1:11" s="117" customFormat="1">
      <c r="A147" s="900" t="s">
        <v>925</v>
      </c>
      <c r="B147" s="922" t="s">
        <v>931</v>
      </c>
      <c r="C147" s="1108"/>
      <c r="D147" s="43"/>
      <c r="E147" s="43"/>
      <c r="F147" s="1561" t="str">
        <f t="shared" si="6"/>
        <v>-</v>
      </c>
      <c r="G147" s="902"/>
      <c r="H147" s="903"/>
      <c r="I147" s="904"/>
      <c r="K147" s="13">
        <f t="shared" si="7"/>
        <v>0</v>
      </c>
    </row>
    <row r="148" spans="1:11" s="117" customFormat="1" ht="12.75" thickBot="1">
      <c r="A148" s="900" t="s">
        <v>926</v>
      </c>
      <c r="B148" s="922" t="s">
        <v>932</v>
      </c>
      <c r="C148" s="1108"/>
      <c r="D148" s="43"/>
      <c r="E148" s="43"/>
      <c r="F148" s="1561" t="str">
        <f t="shared" si="6"/>
        <v>-</v>
      </c>
      <c r="G148" s="902"/>
      <c r="H148" s="903"/>
      <c r="I148" s="904"/>
      <c r="K148" s="13">
        <f t="shared" si="7"/>
        <v>0</v>
      </c>
    </row>
    <row r="149" spans="1:11" s="119" customFormat="1" ht="12.75" thickBot="1">
      <c r="A149" s="884" t="s">
        <v>14</v>
      </c>
      <c r="B149" s="905" t="s">
        <v>311</v>
      </c>
      <c r="C149" s="1103">
        <f>+C150+C159+C165</f>
        <v>800</v>
      </c>
      <c r="D149" s="28">
        <f>+D150+D159+D165</f>
        <v>6695</v>
      </c>
      <c r="E149" s="28">
        <f>+E150+E159+E165</f>
        <v>6695</v>
      </c>
      <c r="F149" s="1558">
        <f t="shared" si="6"/>
        <v>1</v>
      </c>
      <c r="G149" s="110">
        <f>+G150+G159+G165</f>
        <v>6695</v>
      </c>
      <c r="H149" s="111">
        <f>+H150+H159+H165</f>
        <v>0</v>
      </c>
      <c r="I149" s="112">
        <f>+I150+I159+I165</f>
        <v>0</v>
      </c>
      <c r="K149" s="3">
        <f t="shared" si="7"/>
        <v>0</v>
      </c>
    </row>
    <row r="150" spans="1:11" s="119" customFormat="1" ht="12.75" thickBot="1">
      <c r="A150" s="884" t="s">
        <v>13</v>
      </c>
      <c r="B150" s="891" t="s">
        <v>312</v>
      </c>
      <c r="C150" s="1103">
        <f>+C152+C153+C154+C155+C156+C157+C158</f>
        <v>800</v>
      </c>
      <c r="D150" s="28">
        <f>+D152+D153+D154+D155+D156+D157+D158</f>
        <v>6695</v>
      </c>
      <c r="E150" s="28">
        <f>+E152+E153+E154+E155+E156+E157+E158</f>
        <v>6695</v>
      </c>
      <c r="F150" s="1558">
        <f t="shared" si="6"/>
        <v>1</v>
      </c>
      <c r="G150" s="110">
        <f>+G152+G153+G154+G155+G156+G157+G158</f>
        <v>6695</v>
      </c>
      <c r="H150" s="111">
        <f>+H152+H153+H154+H155+H156+H157+H158</f>
        <v>0</v>
      </c>
      <c r="I150" s="112">
        <f>+I152+I153+I154+I155+I156+I157+I158</f>
        <v>0</v>
      </c>
      <c r="K150" s="3">
        <f t="shared" si="7"/>
        <v>0</v>
      </c>
    </row>
    <row r="151" spans="1:11" s="876" customFormat="1">
      <c r="A151" s="917" t="s">
        <v>934</v>
      </c>
      <c r="B151" s="918" t="s">
        <v>342</v>
      </c>
      <c r="C151" s="1110"/>
      <c r="D151" s="97"/>
      <c r="E151" s="97"/>
      <c r="F151" s="1559" t="str">
        <f t="shared" si="6"/>
        <v>-</v>
      </c>
      <c r="G151" s="919"/>
      <c r="H151" s="920"/>
      <c r="I151" s="921"/>
      <c r="K151" s="36">
        <f t="shared" si="7"/>
        <v>0</v>
      </c>
    </row>
    <row r="152" spans="1:11">
      <c r="A152" s="892" t="s">
        <v>66</v>
      </c>
      <c r="B152" s="113" t="s">
        <v>152</v>
      </c>
      <c r="C152" s="1104"/>
      <c r="D152" s="10"/>
      <c r="E152" s="10"/>
      <c r="F152" s="1560" t="str">
        <f t="shared" si="6"/>
        <v>-</v>
      </c>
      <c r="G152" s="114"/>
      <c r="H152" s="115"/>
      <c r="I152" s="116"/>
      <c r="K152" s="4">
        <f t="shared" si="7"/>
        <v>0</v>
      </c>
    </row>
    <row r="153" spans="1:11">
      <c r="A153" s="896" t="s">
        <v>67</v>
      </c>
      <c r="B153" s="897" t="s">
        <v>153</v>
      </c>
      <c r="C153" s="1106"/>
      <c r="D153" s="11"/>
      <c r="E153" s="11"/>
      <c r="F153" s="1562" t="str">
        <f t="shared" si="6"/>
        <v>-</v>
      </c>
      <c r="G153" s="866"/>
      <c r="H153" s="867"/>
      <c r="I153" s="868"/>
      <c r="K153" s="4">
        <f t="shared" si="7"/>
        <v>0</v>
      </c>
    </row>
    <row r="154" spans="1:11">
      <c r="A154" s="896" t="s">
        <v>68</v>
      </c>
      <c r="B154" s="897" t="s">
        <v>154</v>
      </c>
      <c r="C154" s="1106"/>
      <c r="D154" s="11"/>
      <c r="E154" s="11"/>
      <c r="F154" s="1562" t="str">
        <f t="shared" si="6"/>
        <v>-</v>
      </c>
      <c r="G154" s="866"/>
      <c r="H154" s="867"/>
      <c r="I154" s="868"/>
      <c r="K154" s="4">
        <f t="shared" si="7"/>
        <v>0</v>
      </c>
    </row>
    <row r="155" spans="1:11">
      <c r="A155" s="896" t="s">
        <v>230</v>
      </c>
      <c r="B155" s="897" t="s">
        <v>155</v>
      </c>
      <c r="C155" s="1106">
        <v>630</v>
      </c>
      <c r="D155" s="11">
        <f>5271+1</f>
        <v>5272</v>
      </c>
      <c r="E155" s="11">
        <f>5271+1</f>
        <v>5272</v>
      </c>
      <c r="F155" s="1562">
        <f t="shared" si="6"/>
        <v>1</v>
      </c>
      <c r="G155" s="866">
        <v>5272</v>
      </c>
      <c r="H155" s="867"/>
      <c r="I155" s="868"/>
      <c r="K155" s="4">
        <f t="shared" si="7"/>
        <v>0</v>
      </c>
    </row>
    <row r="156" spans="1:11">
      <c r="A156" s="896" t="s">
        <v>231</v>
      </c>
      <c r="B156" s="897" t="s">
        <v>156</v>
      </c>
      <c r="C156" s="1106"/>
      <c r="D156" s="11"/>
      <c r="E156" s="11"/>
      <c r="F156" s="1562" t="str">
        <f t="shared" si="6"/>
        <v>-</v>
      </c>
      <c r="G156" s="866"/>
      <c r="H156" s="867"/>
      <c r="I156" s="868"/>
      <c r="K156" s="4">
        <f t="shared" si="7"/>
        <v>0</v>
      </c>
    </row>
    <row r="157" spans="1:11">
      <c r="A157" s="896" t="s">
        <v>269</v>
      </c>
      <c r="B157" s="897" t="s">
        <v>157</v>
      </c>
      <c r="C157" s="1106"/>
      <c r="D157" s="11"/>
      <c r="E157" s="11"/>
      <c r="F157" s="1562" t="str">
        <f t="shared" si="6"/>
        <v>-</v>
      </c>
      <c r="G157" s="866"/>
      <c r="H157" s="867"/>
      <c r="I157" s="868"/>
      <c r="K157" s="4">
        <f t="shared" si="7"/>
        <v>0</v>
      </c>
    </row>
    <row r="158" spans="1:11" ht="12.75" thickBot="1">
      <c r="A158" s="898" t="s">
        <v>270</v>
      </c>
      <c r="B158" s="899" t="s">
        <v>158</v>
      </c>
      <c r="C158" s="1107">
        <v>170</v>
      </c>
      <c r="D158" s="22">
        <v>1423</v>
      </c>
      <c r="E158" s="22">
        <v>1423</v>
      </c>
      <c r="F158" s="1561">
        <f t="shared" si="6"/>
        <v>1</v>
      </c>
      <c r="G158" s="869">
        <v>1423</v>
      </c>
      <c r="H158" s="870"/>
      <c r="I158" s="871"/>
      <c r="K158" s="4">
        <f t="shared" si="7"/>
        <v>0</v>
      </c>
    </row>
    <row r="159" spans="1:11" s="119" customFormat="1" ht="12.75" thickBot="1">
      <c r="A159" s="884" t="s">
        <v>12</v>
      </c>
      <c r="B159" s="891" t="s">
        <v>313</v>
      </c>
      <c r="C159" s="1103">
        <f>+C161+C162+C163+C164</f>
        <v>0</v>
      </c>
      <c r="D159" s="28">
        <f>+D161+D162+D163+D164</f>
        <v>0</v>
      </c>
      <c r="E159" s="28">
        <f>+E161+E162+E163+E164</f>
        <v>0</v>
      </c>
      <c r="F159" s="1558" t="str">
        <f t="shared" si="6"/>
        <v>-</v>
      </c>
      <c r="G159" s="110">
        <f>+G161+G162+G163+G164</f>
        <v>0</v>
      </c>
      <c r="H159" s="111">
        <f>+H161+H162+H163+H164</f>
        <v>0</v>
      </c>
      <c r="I159" s="112">
        <f>+I161+I162+I163+I164</f>
        <v>0</v>
      </c>
      <c r="K159" s="3">
        <f t="shared" si="7"/>
        <v>0</v>
      </c>
    </row>
    <row r="160" spans="1:11" s="876" customFormat="1">
      <c r="A160" s="917" t="s">
        <v>344</v>
      </c>
      <c r="B160" s="918" t="s">
        <v>345</v>
      </c>
      <c r="C160" s="1110"/>
      <c r="D160" s="97"/>
      <c r="E160" s="97"/>
      <c r="F160" s="1559" t="str">
        <f t="shared" si="6"/>
        <v>-</v>
      </c>
      <c r="G160" s="919"/>
      <c r="H160" s="920"/>
      <c r="I160" s="921"/>
      <c r="K160" s="36">
        <f t="shared" si="7"/>
        <v>0</v>
      </c>
    </row>
    <row r="161" spans="1:11">
      <c r="A161" s="892" t="s">
        <v>69</v>
      </c>
      <c r="B161" s="113" t="s">
        <v>159</v>
      </c>
      <c r="C161" s="1104"/>
      <c r="D161" s="10"/>
      <c r="E161" s="10"/>
      <c r="F161" s="1560" t="str">
        <f t="shared" si="6"/>
        <v>-</v>
      </c>
      <c r="G161" s="114"/>
      <c r="H161" s="115"/>
      <c r="I161" s="116"/>
      <c r="K161" s="4">
        <f t="shared" si="7"/>
        <v>0</v>
      </c>
    </row>
    <row r="162" spans="1:11">
      <c r="A162" s="896" t="s">
        <v>70</v>
      </c>
      <c r="B162" s="897" t="s">
        <v>160</v>
      </c>
      <c r="C162" s="1106"/>
      <c r="D162" s="11"/>
      <c r="E162" s="11"/>
      <c r="F162" s="1562" t="str">
        <f t="shared" si="6"/>
        <v>-</v>
      </c>
      <c r="G162" s="866"/>
      <c r="H162" s="867"/>
      <c r="I162" s="868"/>
      <c r="K162" s="4">
        <f t="shared" si="7"/>
        <v>0</v>
      </c>
    </row>
    <row r="163" spans="1:11">
      <c r="A163" s="896" t="s">
        <v>71</v>
      </c>
      <c r="B163" s="897" t="s">
        <v>161</v>
      </c>
      <c r="C163" s="1106"/>
      <c r="D163" s="11"/>
      <c r="E163" s="11"/>
      <c r="F163" s="1562" t="str">
        <f t="shared" si="6"/>
        <v>-</v>
      </c>
      <c r="G163" s="866"/>
      <c r="H163" s="867"/>
      <c r="I163" s="868"/>
      <c r="K163" s="4">
        <f t="shared" si="7"/>
        <v>0</v>
      </c>
    </row>
    <row r="164" spans="1:11" ht="12.75" thickBot="1">
      <c r="A164" s="898" t="s">
        <v>72</v>
      </c>
      <c r="B164" s="899" t="s">
        <v>162</v>
      </c>
      <c r="C164" s="1107"/>
      <c r="D164" s="22"/>
      <c r="E164" s="22"/>
      <c r="F164" s="1561" t="str">
        <f t="shared" si="6"/>
        <v>-</v>
      </c>
      <c r="G164" s="869"/>
      <c r="H164" s="870"/>
      <c r="I164" s="871"/>
      <c r="K164" s="4">
        <f t="shared" si="7"/>
        <v>0</v>
      </c>
    </row>
    <row r="165" spans="1:11" s="119" customFormat="1" ht="12.75" thickBot="1">
      <c r="A165" s="884" t="s">
        <v>11</v>
      </c>
      <c r="B165" s="891" t="s">
        <v>936</v>
      </c>
      <c r="C165" s="1103">
        <f>+C166+C167+C168+C169+C171+C172+C173+C174+C175</f>
        <v>0</v>
      </c>
      <c r="D165" s="28">
        <f>+D166+D167+D168+D169+D171+D172+D173+D174+D175</f>
        <v>0</v>
      </c>
      <c r="E165" s="28">
        <f>+E166+E167+E168+E169+E171+E172+E173+E174+E175</f>
        <v>0</v>
      </c>
      <c r="F165" s="1558" t="str">
        <f t="shared" si="6"/>
        <v>-</v>
      </c>
      <c r="G165" s="110">
        <f>+G166+G167+G168+G169+G171+G172+G173+G174+G175</f>
        <v>0</v>
      </c>
      <c r="H165" s="111">
        <f>+H166+H167+H168+H169+H171+H172+H173+H174+H175</f>
        <v>0</v>
      </c>
      <c r="I165" s="112">
        <f>+I166+I167+I168+I169+I171+I172+I173+I174+I175</f>
        <v>0</v>
      </c>
      <c r="K165" s="3">
        <f t="shared" si="7"/>
        <v>0</v>
      </c>
    </row>
    <row r="166" spans="1:11">
      <c r="A166" s="892" t="s">
        <v>271</v>
      </c>
      <c r="B166" s="113" t="s">
        <v>163</v>
      </c>
      <c r="C166" s="1104"/>
      <c r="D166" s="10"/>
      <c r="E166" s="10"/>
      <c r="F166" s="1560" t="str">
        <f t="shared" si="6"/>
        <v>-</v>
      </c>
      <c r="G166" s="114"/>
      <c r="H166" s="115"/>
      <c r="I166" s="116"/>
      <c r="K166" s="4">
        <f t="shared" si="7"/>
        <v>0</v>
      </c>
    </row>
    <row r="167" spans="1:11">
      <c r="A167" s="896" t="s">
        <v>272</v>
      </c>
      <c r="B167" s="897" t="s">
        <v>164</v>
      </c>
      <c r="C167" s="1106"/>
      <c r="D167" s="11"/>
      <c r="E167" s="11"/>
      <c r="F167" s="1562" t="str">
        <f t="shared" si="6"/>
        <v>-</v>
      </c>
      <c r="G167" s="866"/>
      <c r="H167" s="867"/>
      <c r="I167" s="868"/>
      <c r="K167" s="4">
        <f t="shared" si="7"/>
        <v>0</v>
      </c>
    </row>
    <row r="168" spans="1:11">
      <c r="A168" s="896" t="s">
        <v>273</v>
      </c>
      <c r="B168" s="897" t="s">
        <v>165</v>
      </c>
      <c r="C168" s="1106"/>
      <c r="D168" s="11"/>
      <c r="E168" s="11"/>
      <c r="F168" s="1562" t="str">
        <f t="shared" si="6"/>
        <v>-</v>
      </c>
      <c r="G168" s="866"/>
      <c r="H168" s="867"/>
      <c r="I168" s="868"/>
      <c r="K168" s="4">
        <f t="shared" si="7"/>
        <v>0</v>
      </c>
    </row>
    <row r="169" spans="1:11">
      <c r="A169" s="896" t="s">
        <v>274</v>
      </c>
      <c r="B169" s="897" t="s">
        <v>166</v>
      </c>
      <c r="C169" s="1106"/>
      <c r="D169" s="11"/>
      <c r="E169" s="11"/>
      <c r="F169" s="1562" t="str">
        <f t="shared" si="6"/>
        <v>-</v>
      </c>
      <c r="G169" s="866"/>
      <c r="H169" s="867"/>
      <c r="I169" s="868"/>
      <c r="K169" s="4">
        <f t="shared" si="7"/>
        <v>0</v>
      </c>
    </row>
    <row r="170" spans="1:11" s="117" customFormat="1">
      <c r="A170" s="900" t="s">
        <v>339</v>
      </c>
      <c r="B170" s="901" t="s">
        <v>340</v>
      </c>
      <c r="C170" s="1108"/>
      <c r="D170" s="43"/>
      <c r="E170" s="43"/>
      <c r="F170" s="1561" t="str">
        <f t="shared" si="6"/>
        <v>-</v>
      </c>
      <c r="G170" s="902"/>
      <c r="H170" s="903"/>
      <c r="I170" s="904"/>
      <c r="K170" s="13">
        <f t="shared" si="7"/>
        <v>0</v>
      </c>
    </row>
    <row r="171" spans="1:11">
      <c r="A171" s="896" t="s">
        <v>275</v>
      </c>
      <c r="B171" s="897" t="s">
        <v>167</v>
      </c>
      <c r="C171" s="1106"/>
      <c r="D171" s="11"/>
      <c r="E171" s="11"/>
      <c r="F171" s="1562" t="str">
        <f t="shared" si="6"/>
        <v>-</v>
      </c>
      <c r="G171" s="866"/>
      <c r="H171" s="867"/>
      <c r="I171" s="868"/>
      <c r="K171" s="4">
        <f t="shared" si="7"/>
        <v>0</v>
      </c>
    </row>
    <row r="172" spans="1:11">
      <c r="A172" s="896" t="s">
        <v>276</v>
      </c>
      <c r="B172" s="897" t="s">
        <v>168</v>
      </c>
      <c r="C172" s="1106"/>
      <c r="D172" s="11"/>
      <c r="E172" s="11"/>
      <c r="F172" s="1562" t="str">
        <f t="shared" si="6"/>
        <v>-</v>
      </c>
      <c r="G172" s="866"/>
      <c r="H172" s="867"/>
      <c r="I172" s="868"/>
      <c r="K172" s="4">
        <f t="shared" si="7"/>
        <v>0</v>
      </c>
    </row>
    <row r="173" spans="1:11">
      <c r="A173" s="896" t="s">
        <v>277</v>
      </c>
      <c r="B173" s="897" t="s">
        <v>169</v>
      </c>
      <c r="C173" s="1106"/>
      <c r="D173" s="11"/>
      <c r="E173" s="11"/>
      <c r="F173" s="1562" t="str">
        <f t="shared" ref="F173:F208" si="8">IF(ISERROR(E173/D173),"-",E173/D173)</f>
        <v>-</v>
      </c>
      <c r="G173" s="866"/>
      <c r="H173" s="867"/>
      <c r="I173" s="868"/>
      <c r="K173" s="4">
        <f t="shared" ref="K173:K208" si="9">+E173-G173-H173-I173</f>
        <v>0</v>
      </c>
    </row>
    <row r="174" spans="1:11">
      <c r="A174" s="896" t="s">
        <v>278</v>
      </c>
      <c r="B174" s="897" t="s">
        <v>937</v>
      </c>
      <c r="C174" s="1106"/>
      <c r="D174" s="11"/>
      <c r="E174" s="11"/>
      <c r="F174" s="1562" t="str">
        <f t="shared" si="8"/>
        <v>-</v>
      </c>
      <c r="G174" s="866"/>
      <c r="H174" s="867"/>
      <c r="I174" s="868"/>
      <c r="K174" s="4">
        <f t="shared" si="9"/>
        <v>0</v>
      </c>
    </row>
    <row r="175" spans="1:11" ht="12.75" thickBot="1">
      <c r="A175" s="898" t="s">
        <v>935</v>
      </c>
      <c r="B175" s="899" t="s">
        <v>938</v>
      </c>
      <c r="C175" s="1107"/>
      <c r="D175" s="22"/>
      <c r="E175" s="22"/>
      <c r="F175" s="1561" t="str">
        <f t="shared" si="8"/>
        <v>-</v>
      </c>
      <c r="G175" s="869"/>
      <c r="H175" s="870"/>
      <c r="I175" s="871"/>
      <c r="K175" s="4">
        <f t="shared" si="9"/>
        <v>0</v>
      </c>
    </row>
    <row r="176" spans="1:11" s="119" customFormat="1" ht="12.75" thickBot="1">
      <c r="A176" s="884" t="s">
        <v>10</v>
      </c>
      <c r="B176" s="905" t="s">
        <v>314</v>
      </c>
      <c r="C176" s="1103">
        <f>+C109+C149</f>
        <v>400150</v>
      </c>
      <c r="D176" s="28">
        <f>+D109+D149</f>
        <v>427333</v>
      </c>
      <c r="E176" s="28">
        <f>+E109+E149</f>
        <v>401629</v>
      </c>
      <c r="F176" s="1558">
        <f t="shared" si="8"/>
        <v>0.93985018709062951</v>
      </c>
      <c r="G176" s="110">
        <f>+G109+G149</f>
        <v>401629</v>
      </c>
      <c r="H176" s="111">
        <f>+H109+H149</f>
        <v>0</v>
      </c>
      <c r="I176" s="112">
        <f>+I109+I149</f>
        <v>0</v>
      </c>
      <c r="K176" s="3">
        <f t="shared" si="9"/>
        <v>0</v>
      </c>
    </row>
    <row r="177" spans="1:11" s="119" customFormat="1" ht="12.75" thickBot="1">
      <c r="A177" s="884" t="s">
        <v>9</v>
      </c>
      <c r="B177" s="906" t="s">
        <v>315</v>
      </c>
      <c r="C177" s="1103">
        <f>+C178</f>
        <v>0</v>
      </c>
      <c r="D177" s="28">
        <f>+D178</f>
        <v>0</v>
      </c>
      <c r="E177" s="28">
        <f>+E178</f>
        <v>0</v>
      </c>
      <c r="F177" s="1558" t="str">
        <f t="shared" si="8"/>
        <v>-</v>
      </c>
      <c r="G177" s="110">
        <f>+G178</f>
        <v>0</v>
      </c>
      <c r="H177" s="111">
        <f>+H178</f>
        <v>0</v>
      </c>
      <c r="I177" s="112">
        <f>+I178</f>
        <v>0</v>
      </c>
      <c r="K177" s="3">
        <f t="shared" si="9"/>
        <v>0</v>
      </c>
    </row>
    <row r="178" spans="1:11" s="119" customFormat="1" ht="12.75" thickBot="1">
      <c r="A178" s="884" t="s">
        <v>45</v>
      </c>
      <c r="B178" s="891" t="s">
        <v>945</v>
      </c>
      <c r="C178" s="1103">
        <f>+C179+C189+C190+C191</f>
        <v>0</v>
      </c>
      <c r="D178" s="28">
        <f>+D179+D189+D190+D191</f>
        <v>0</v>
      </c>
      <c r="E178" s="28">
        <f>+E179+E189+E190+E191</f>
        <v>0</v>
      </c>
      <c r="F178" s="1558" t="str">
        <f t="shared" si="8"/>
        <v>-</v>
      </c>
      <c r="G178" s="110">
        <f>+G179+G189+G190+G191</f>
        <v>0</v>
      </c>
      <c r="H178" s="111">
        <f>+H179+H189+H190+H191</f>
        <v>0</v>
      </c>
      <c r="I178" s="112">
        <f>+I179+I189+I190+I191</f>
        <v>0</v>
      </c>
      <c r="K178" s="3">
        <f t="shared" si="9"/>
        <v>0</v>
      </c>
    </row>
    <row r="179" spans="1:11">
      <c r="A179" s="892" t="s">
        <v>75</v>
      </c>
      <c r="B179" s="113" t="s">
        <v>946</v>
      </c>
      <c r="C179" s="1104">
        <f>+C180+C181+C182+C183+C184+C185+C186+C187+C188</f>
        <v>0</v>
      </c>
      <c r="D179" s="10">
        <f>+D180+D181+D182+D183+D184+D185+D186+D187+D188</f>
        <v>0</v>
      </c>
      <c r="E179" s="10">
        <f>+E180+E181+E182+E183+E184+E185+E186+E187+E188</f>
        <v>0</v>
      </c>
      <c r="F179" s="1560" t="str">
        <f t="shared" si="8"/>
        <v>-</v>
      </c>
      <c r="G179" s="114">
        <f>+G180+G181+G182+G183+G184+G185+G186+G187+G188</f>
        <v>0</v>
      </c>
      <c r="H179" s="115">
        <f>+H180+H181+H182+H183+H184+H185+H186+H187+H188</f>
        <v>0</v>
      </c>
      <c r="I179" s="116">
        <f>+I180+I181+I182+I183+I184+I185+I186+I187+I188</f>
        <v>0</v>
      </c>
      <c r="K179" s="4">
        <f t="shared" si="9"/>
        <v>0</v>
      </c>
    </row>
    <row r="180" spans="1:11" s="117" customFormat="1">
      <c r="A180" s="108" t="s">
        <v>205</v>
      </c>
      <c r="B180" s="109" t="s">
        <v>170</v>
      </c>
      <c r="C180" s="1105"/>
      <c r="D180" s="12"/>
      <c r="E180" s="12"/>
      <c r="F180" s="1562" t="str">
        <f t="shared" si="8"/>
        <v>-</v>
      </c>
      <c r="G180" s="656"/>
      <c r="H180" s="657"/>
      <c r="I180" s="658"/>
      <c r="K180" s="13">
        <f t="shared" si="9"/>
        <v>0</v>
      </c>
    </row>
    <row r="181" spans="1:11" s="117" customFormat="1">
      <c r="A181" s="108" t="s">
        <v>206</v>
      </c>
      <c r="B181" s="109" t="s">
        <v>171</v>
      </c>
      <c r="C181" s="1105"/>
      <c r="D181" s="12"/>
      <c r="E181" s="12"/>
      <c r="F181" s="1562" t="str">
        <f t="shared" si="8"/>
        <v>-</v>
      </c>
      <c r="G181" s="656"/>
      <c r="H181" s="657"/>
      <c r="I181" s="658"/>
      <c r="K181" s="13">
        <f t="shared" si="9"/>
        <v>0</v>
      </c>
    </row>
    <row r="182" spans="1:11" s="117" customFormat="1">
      <c r="A182" s="108" t="s">
        <v>207</v>
      </c>
      <c r="B182" s="109" t="s">
        <v>172</v>
      </c>
      <c r="C182" s="1105"/>
      <c r="D182" s="12"/>
      <c r="E182" s="12"/>
      <c r="F182" s="1562" t="str">
        <f t="shared" si="8"/>
        <v>-</v>
      </c>
      <c r="G182" s="656"/>
      <c r="H182" s="657"/>
      <c r="I182" s="658"/>
      <c r="K182" s="13">
        <f t="shared" si="9"/>
        <v>0</v>
      </c>
    </row>
    <row r="183" spans="1:11" s="117" customFormat="1">
      <c r="A183" s="108" t="s">
        <v>208</v>
      </c>
      <c r="B183" s="109" t="s">
        <v>173</v>
      </c>
      <c r="C183" s="1105"/>
      <c r="D183" s="12"/>
      <c r="E183" s="12"/>
      <c r="F183" s="1562" t="str">
        <f t="shared" si="8"/>
        <v>-</v>
      </c>
      <c r="G183" s="656"/>
      <c r="H183" s="657"/>
      <c r="I183" s="658"/>
      <c r="K183" s="13">
        <f t="shared" si="9"/>
        <v>0</v>
      </c>
    </row>
    <row r="184" spans="1:11" s="117" customFormat="1">
      <c r="A184" s="108" t="s">
        <v>209</v>
      </c>
      <c r="B184" s="109" t="s">
        <v>174</v>
      </c>
      <c r="C184" s="1105"/>
      <c r="D184" s="12"/>
      <c r="E184" s="12"/>
      <c r="F184" s="1569" t="str">
        <f t="shared" si="8"/>
        <v>-</v>
      </c>
      <c r="G184" s="656"/>
      <c r="H184" s="657"/>
      <c r="I184" s="658"/>
      <c r="K184" s="117">
        <f t="shared" si="9"/>
        <v>0</v>
      </c>
    </row>
    <row r="185" spans="1:11" s="117" customFormat="1">
      <c r="A185" s="108" t="s">
        <v>210</v>
      </c>
      <c r="B185" s="109" t="s">
        <v>179</v>
      </c>
      <c r="C185" s="1105"/>
      <c r="D185" s="12"/>
      <c r="E185" s="12"/>
      <c r="F185" s="1562" t="str">
        <f t="shared" si="8"/>
        <v>-</v>
      </c>
      <c r="G185" s="656"/>
      <c r="H185" s="657"/>
      <c r="I185" s="658"/>
      <c r="K185" s="13">
        <f t="shared" si="9"/>
        <v>0</v>
      </c>
    </row>
    <row r="186" spans="1:11" s="117" customFormat="1">
      <c r="A186" s="108" t="s">
        <v>211</v>
      </c>
      <c r="B186" s="109" t="s">
        <v>175</v>
      </c>
      <c r="C186" s="1105"/>
      <c r="D186" s="12"/>
      <c r="E186" s="12"/>
      <c r="F186" s="1562" t="str">
        <f t="shared" si="8"/>
        <v>-</v>
      </c>
      <c r="G186" s="656"/>
      <c r="H186" s="657"/>
      <c r="I186" s="658"/>
      <c r="K186" s="13">
        <f t="shared" si="9"/>
        <v>0</v>
      </c>
    </row>
    <row r="187" spans="1:11" s="117" customFormat="1">
      <c r="A187" s="108" t="s">
        <v>212</v>
      </c>
      <c r="B187" s="109" t="s">
        <v>176</v>
      </c>
      <c r="C187" s="1105"/>
      <c r="D187" s="12"/>
      <c r="E187" s="12"/>
      <c r="F187" s="1562" t="str">
        <f t="shared" si="8"/>
        <v>-</v>
      </c>
      <c r="G187" s="656"/>
      <c r="H187" s="657"/>
      <c r="I187" s="658"/>
      <c r="K187" s="13">
        <f t="shared" si="9"/>
        <v>0</v>
      </c>
    </row>
    <row r="188" spans="1:11" s="117" customFormat="1">
      <c r="A188" s="108" t="s">
        <v>939</v>
      </c>
      <c r="B188" s="109" t="s">
        <v>941</v>
      </c>
      <c r="C188" s="1105"/>
      <c r="D188" s="12"/>
      <c r="E188" s="12"/>
      <c r="F188" s="1562" t="str">
        <f t="shared" si="8"/>
        <v>-</v>
      </c>
      <c r="G188" s="656"/>
      <c r="H188" s="657"/>
      <c r="I188" s="658"/>
      <c r="K188" s="13">
        <f t="shared" si="9"/>
        <v>0</v>
      </c>
    </row>
    <row r="189" spans="1:11">
      <c r="A189" s="896" t="s">
        <v>76</v>
      </c>
      <c r="B189" s="897" t="s">
        <v>177</v>
      </c>
      <c r="C189" s="1106"/>
      <c r="D189" s="11"/>
      <c r="E189" s="11"/>
      <c r="F189" s="1562" t="str">
        <f t="shared" si="8"/>
        <v>-</v>
      </c>
      <c r="G189" s="866"/>
      <c r="H189" s="867"/>
      <c r="I189" s="868"/>
      <c r="K189" s="4">
        <f t="shared" si="9"/>
        <v>0</v>
      </c>
    </row>
    <row r="190" spans="1:11">
      <c r="A190" s="898" t="s">
        <v>77</v>
      </c>
      <c r="B190" s="899" t="s">
        <v>178</v>
      </c>
      <c r="C190" s="1107"/>
      <c r="D190" s="22"/>
      <c r="E190" s="22"/>
      <c r="F190" s="1561" t="str">
        <f t="shared" si="8"/>
        <v>-</v>
      </c>
      <c r="G190" s="869"/>
      <c r="H190" s="870"/>
      <c r="I190" s="871"/>
      <c r="K190" s="4">
        <f t="shared" si="9"/>
        <v>0</v>
      </c>
    </row>
    <row r="191" spans="1:11" ht="12.75" thickBot="1">
      <c r="A191" s="898" t="s">
        <v>944</v>
      </c>
      <c r="B191" s="899" t="s">
        <v>942</v>
      </c>
      <c r="C191" s="1107"/>
      <c r="D191" s="22"/>
      <c r="E191" s="22"/>
      <c r="F191" s="1561" t="str">
        <f t="shared" si="8"/>
        <v>-</v>
      </c>
      <c r="G191" s="869"/>
      <c r="H191" s="870"/>
      <c r="I191" s="871"/>
      <c r="K191" s="4">
        <f t="shared" si="9"/>
        <v>0</v>
      </c>
    </row>
    <row r="192" spans="1:11" s="119" customFormat="1" ht="12.75" thickBot="1">
      <c r="A192" s="884" t="s">
        <v>44</v>
      </c>
      <c r="B192" s="905" t="s">
        <v>316</v>
      </c>
      <c r="C192" s="1103">
        <f>+C193</f>
        <v>0</v>
      </c>
      <c r="D192" s="28">
        <f>+D193</f>
        <v>0</v>
      </c>
      <c r="E192" s="28">
        <f>+E193</f>
        <v>0</v>
      </c>
      <c r="F192" s="1558" t="str">
        <f t="shared" si="8"/>
        <v>-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9"/>
        <v>0</v>
      </c>
    </row>
    <row r="193" spans="1:11" s="119" customFormat="1" ht="12.75" thickBot="1">
      <c r="A193" s="884" t="s">
        <v>43</v>
      </c>
      <c r="B193" s="891" t="s">
        <v>940</v>
      </c>
      <c r="C193" s="1103">
        <f>+C194+C204+C205+C206</f>
        <v>0</v>
      </c>
      <c r="D193" s="28">
        <f>+D194+D204+D205+D206</f>
        <v>0</v>
      </c>
      <c r="E193" s="28">
        <f>+E194+E204+E205+E206</f>
        <v>0</v>
      </c>
      <c r="F193" s="1558" t="str">
        <f t="shared" si="8"/>
        <v>-</v>
      </c>
      <c r="G193" s="110">
        <f>+G194+G204+G205+G206</f>
        <v>0</v>
      </c>
      <c r="H193" s="111">
        <f>+H194+H204+H205+H206</f>
        <v>0</v>
      </c>
      <c r="I193" s="112">
        <f>+I194+I204+I205+I206</f>
        <v>0</v>
      </c>
      <c r="K193" s="3">
        <f t="shared" si="9"/>
        <v>0</v>
      </c>
    </row>
    <row r="194" spans="1:11">
      <c r="A194" s="892" t="s">
        <v>78</v>
      </c>
      <c r="B194" s="113" t="s">
        <v>978</v>
      </c>
      <c r="C194" s="1104">
        <f>+C195+C196+C197+C198+C199+C200+C201+C202+C203</f>
        <v>0</v>
      </c>
      <c r="D194" s="10">
        <f>+D195+D196+D197+D198+D199+D200+D201+D202+D203</f>
        <v>0</v>
      </c>
      <c r="E194" s="10">
        <f>+E195+E196+E197+E198+E199+E200+E201+E202+E203</f>
        <v>0</v>
      </c>
      <c r="F194" s="1560" t="str">
        <f t="shared" si="8"/>
        <v>-</v>
      </c>
      <c r="G194" s="114">
        <f>+G195+G196+G197+G198+G199+G200+G201+G202+G203</f>
        <v>0</v>
      </c>
      <c r="H194" s="115">
        <f>+H195+H196+H197+H198+H199+H200+H201+H202+H203</f>
        <v>0</v>
      </c>
      <c r="I194" s="116">
        <f>+I195+I196+I197+I198+I199+I200+I201+I202+I203</f>
        <v>0</v>
      </c>
      <c r="K194" s="4">
        <f t="shared" si="9"/>
        <v>0</v>
      </c>
    </row>
    <row r="195" spans="1:11" s="117" customFormat="1">
      <c r="A195" s="108" t="s">
        <v>213</v>
      </c>
      <c r="B195" s="109" t="s">
        <v>170</v>
      </c>
      <c r="C195" s="1105"/>
      <c r="D195" s="12"/>
      <c r="E195" s="12"/>
      <c r="F195" s="1562" t="str">
        <f t="shared" si="8"/>
        <v>-</v>
      </c>
      <c r="G195" s="656"/>
      <c r="H195" s="657"/>
      <c r="I195" s="658"/>
      <c r="K195" s="13">
        <f t="shared" si="9"/>
        <v>0</v>
      </c>
    </row>
    <row r="196" spans="1:11" s="117" customFormat="1">
      <c r="A196" s="108" t="s">
        <v>214</v>
      </c>
      <c r="B196" s="109" t="s">
        <v>171</v>
      </c>
      <c r="C196" s="1105"/>
      <c r="D196" s="12"/>
      <c r="E196" s="12"/>
      <c r="F196" s="1562" t="str">
        <f t="shared" si="8"/>
        <v>-</v>
      </c>
      <c r="G196" s="656"/>
      <c r="H196" s="657"/>
      <c r="I196" s="658"/>
      <c r="K196" s="13">
        <f t="shared" si="9"/>
        <v>0</v>
      </c>
    </row>
    <row r="197" spans="1:11" s="117" customFormat="1">
      <c r="A197" s="108" t="s">
        <v>215</v>
      </c>
      <c r="B197" s="109" t="s">
        <v>172</v>
      </c>
      <c r="C197" s="1105"/>
      <c r="D197" s="12"/>
      <c r="E197" s="12"/>
      <c r="F197" s="1562" t="str">
        <f t="shared" si="8"/>
        <v>-</v>
      </c>
      <c r="G197" s="656"/>
      <c r="H197" s="657"/>
      <c r="I197" s="658"/>
      <c r="K197" s="13">
        <f t="shared" si="9"/>
        <v>0</v>
      </c>
    </row>
    <row r="198" spans="1:11" s="117" customFormat="1">
      <c r="A198" s="108" t="s">
        <v>216</v>
      </c>
      <c r="B198" s="109" t="s">
        <v>173</v>
      </c>
      <c r="C198" s="1105"/>
      <c r="D198" s="12"/>
      <c r="E198" s="12"/>
      <c r="F198" s="1562" t="str">
        <f t="shared" si="8"/>
        <v>-</v>
      </c>
      <c r="G198" s="656"/>
      <c r="H198" s="657"/>
      <c r="I198" s="658"/>
      <c r="K198" s="13">
        <f t="shared" si="9"/>
        <v>0</v>
      </c>
    </row>
    <row r="199" spans="1:11" s="117" customFormat="1">
      <c r="A199" s="108" t="s">
        <v>217</v>
      </c>
      <c r="B199" s="109" t="s">
        <v>174</v>
      </c>
      <c r="C199" s="1105"/>
      <c r="D199" s="12"/>
      <c r="E199" s="12"/>
      <c r="F199" s="1569" t="str">
        <f t="shared" si="8"/>
        <v>-</v>
      </c>
      <c r="G199" s="656"/>
      <c r="H199" s="657"/>
      <c r="I199" s="658"/>
      <c r="K199" s="117">
        <f t="shared" si="9"/>
        <v>0</v>
      </c>
    </row>
    <row r="200" spans="1:11" s="117" customFormat="1">
      <c r="A200" s="108" t="s">
        <v>218</v>
      </c>
      <c r="B200" s="109" t="s">
        <v>179</v>
      </c>
      <c r="C200" s="1105"/>
      <c r="D200" s="12"/>
      <c r="E200" s="12"/>
      <c r="F200" s="1562" t="str">
        <f t="shared" si="8"/>
        <v>-</v>
      </c>
      <c r="G200" s="656"/>
      <c r="H200" s="657"/>
      <c r="I200" s="658"/>
      <c r="K200" s="13">
        <f t="shared" si="9"/>
        <v>0</v>
      </c>
    </row>
    <row r="201" spans="1:11" s="117" customFormat="1">
      <c r="A201" s="108" t="s">
        <v>219</v>
      </c>
      <c r="B201" s="109" t="s">
        <v>175</v>
      </c>
      <c r="C201" s="1105"/>
      <c r="D201" s="12"/>
      <c r="E201" s="12"/>
      <c r="F201" s="1562" t="str">
        <f t="shared" si="8"/>
        <v>-</v>
      </c>
      <c r="G201" s="656"/>
      <c r="H201" s="657"/>
      <c r="I201" s="658"/>
      <c r="K201" s="13">
        <f t="shared" si="9"/>
        <v>0</v>
      </c>
    </row>
    <row r="202" spans="1:11" s="117" customFormat="1">
      <c r="A202" s="108" t="s">
        <v>220</v>
      </c>
      <c r="B202" s="109" t="s">
        <v>176</v>
      </c>
      <c r="C202" s="1105"/>
      <c r="D202" s="12"/>
      <c r="E202" s="12"/>
      <c r="F202" s="1562" t="str">
        <f t="shared" si="8"/>
        <v>-</v>
      </c>
      <c r="G202" s="656"/>
      <c r="H202" s="657"/>
      <c r="I202" s="658"/>
      <c r="K202" s="13">
        <f t="shared" si="9"/>
        <v>0</v>
      </c>
    </row>
    <row r="203" spans="1:11" s="117" customFormat="1">
      <c r="A203" s="108" t="s">
        <v>939</v>
      </c>
      <c r="B203" s="109" t="s">
        <v>941</v>
      </c>
      <c r="C203" s="1105"/>
      <c r="D203" s="12"/>
      <c r="E203" s="12"/>
      <c r="F203" s="1562" t="str">
        <f t="shared" si="8"/>
        <v>-</v>
      </c>
      <c r="G203" s="656"/>
      <c r="H203" s="657"/>
      <c r="I203" s="658"/>
      <c r="K203" s="13">
        <f t="shared" si="9"/>
        <v>0</v>
      </c>
    </row>
    <row r="204" spans="1:11">
      <c r="A204" s="896" t="s">
        <v>79</v>
      </c>
      <c r="B204" s="897" t="s">
        <v>177</v>
      </c>
      <c r="C204" s="1106"/>
      <c r="D204" s="11"/>
      <c r="E204" s="11"/>
      <c r="F204" s="1562" t="str">
        <f t="shared" si="8"/>
        <v>-</v>
      </c>
      <c r="G204" s="866"/>
      <c r="H204" s="867"/>
      <c r="I204" s="868"/>
      <c r="K204" s="4">
        <f t="shared" si="9"/>
        <v>0</v>
      </c>
    </row>
    <row r="205" spans="1:11">
      <c r="A205" s="898" t="s">
        <v>221</v>
      </c>
      <c r="B205" s="899" t="s">
        <v>178</v>
      </c>
      <c r="C205" s="1107"/>
      <c r="D205" s="22"/>
      <c r="E205" s="22"/>
      <c r="F205" s="1561" t="str">
        <f t="shared" si="8"/>
        <v>-</v>
      </c>
      <c r="G205" s="869"/>
      <c r="H205" s="870"/>
      <c r="I205" s="871"/>
      <c r="K205" s="4">
        <f t="shared" si="9"/>
        <v>0</v>
      </c>
    </row>
    <row r="206" spans="1:11" ht="12.75" thickBot="1">
      <c r="A206" s="898" t="s">
        <v>943</v>
      </c>
      <c r="B206" s="899" t="s">
        <v>942</v>
      </c>
      <c r="C206" s="1107"/>
      <c r="D206" s="22"/>
      <c r="E206" s="22"/>
      <c r="F206" s="1561" t="str">
        <f t="shared" si="8"/>
        <v>-</v>
      </c>
      <c r="G206" s="869"/>
      <c r="H206" s="870"/>
      <c r="I206" s="871"/>
      <c r="K206" s="4">
        <f t="shared" si="9"/>
        <v>0</v>
      </c>
    </row>
    <row r="207" spans="1:11" s="119" customFormat="1" ht="12.75" thickBot="1">
      <c r="A207" s="884" t="s">
        <v>40</v>
      </c>
      <c r="B207" s="905" t="s">
        <v>317</v>
      </c>
      <c r="C207" s="1103">
        <f>+C177+C192</f>
        <v>0</v>
      </c>
      <c r="D207" s="28">
        <f>+D177+D192</f>
        <v>0</v>
      </c>
      <c r="E207" s="28">
        <f>+E177+E192</f>
        <v>0</v>
      </c>
      <c r="F207" s="1558" t="str">
        <f t="shared" si="8"/>
        <v>-</v>
      </c>
      <c r="G207" s="110">
        <f>+G177+G192</f>
        <v>0</v>
      </c>
      <c r="H207" s="111">
        <f>+H177+H192</f>
        <v>0</v>
      </c>
      <c r="I207" s="112">
        <f>+I177+I192</f>
        <v>0</v>
      </c>
      <c r="K207" s="3">
        <f t="shared" si="9"/>
        <v>0</v>
      </c>
    </row>
    <row r="208" spans="1:11" s="119" customFormat="1" ht="12.75" thickBot="1">
      <c r="A208" s="907" t="s">
        <v>39</v>
      </c>
      <c r="B208" s="908" t="s">
        <v>335</v>
      </c>
      <c r="C208" s="1109">
        <f>+C176+C207</f>
        <v>400150</v>
      </c>
      <c r="D208" s="25">
        <f>+D176+D207</f>
        <v>427333</v>
      </c>
      <c r="E208" s="25">
        <f>+E176+E207</f>
        <v>401629</v>
      </c>
      <c r="F208" s="1564">
        <f t="shared" si="8"/>
        <v>0.93985018709062951</v>
      </c>
      <c r="G208" s="909">
        <f>+G176+G207</f>
        <v>401629</v>
      </c>
      <c r="H208" s="910">
        <f>+H176+H207</f>
        <v>0</v>
      </c>
      <c r="I208" s="911">
        <f>+I176+I207</f>
        <v>0</v>
      </c>
      <c r="K208" s="3">
        <f t="shared" si="9"/>
        <v>0</v>
      </c>
    </row>
    <row r="211" spans="1:30" s="1" customFormat="1" ht="15.75">
      <c r="A211" s="1790" t="s">
        <v>89</v>
      </c>
      <c r="B211" s="1790"/>
      <c r="C211" s="1790"/>
      <c r="D211" s="1790"/>
      <c r="E211" s="1790"/>
      <c r="F211" s="1790"/>
      <c r="G211" s="1790"/>
      <c r="H211" s="1790"/>
      <c r="I211" s="1790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s="876" customFormat="1" ht="12.75" thickBot="1">
      <c r="A212" s="875" t="s">
        <v>282</v>
      </c>
      <c r="C212" s="36"/>
      <c r="D212" s="36"/>
      <c r="E212" s="36"/>
      <c r="F212" s="1548"/>
      <c r="I212" s="877" t="s">
        <v>281</v>
      </c>
      <c r="K212" s="36"/>
    </row>
    <row r="213" spans="1:30" s="119" customFormat="1" ht="12.75" thickBot="1">
      <c r="A213" s="884" t="s">
        <v>4</v>
      </c>
      <c r="B213" s="905" t="s">
        <v>318</v>
      </c>
      <c r="C213" s="1103">
        <f>+C214+C215</f>
        <v>-380278</v>
      </c>
      <c r="D213" s="28">
        <f>+D214+D215</f>
        <v>-412062</v>
      </c>
      <c r="E213" s="28">
        <f>+E214+E215</f>
        <v>-387395</v>
      </c>
      <c r="F213" s="1558">
        <f>IF(ISERROR(E213/D213),"-",E213/D213)</f>
        <v>0.94013764918871434</v>
      </c>
      <c r="G213" s="110">
        <f>+G214+G215</f>
        <v>-387395</v>
      </c>
      <c r="H213" s="111">
        <f>+H214+H215</f>
        <v>0</v>
      </c>
      <c r="I213" s="112">
        <f>+I214+I215</f>
        <v>0</v>
      </c>
      <c r="K213" s="3">
        <f>+E213-G213-H213-I213</f>
        <v>0</v>
      </c>
    </row>
    <row r="214" spans="1:30">
      <c r="A214" s="892" t="s">
        <v>81</v>
      </c>
      <c r="B214" s="931" t="s">
        <v>319</v>
      </c>
      <c r="C214" s="1104">
        <f>+C10-C109</f>
        <v>-379478</v>
      </c>
      <c r="D214" s="10">
        <f>+D10-D109</f>
        <v>-405367</v>
      </c>
      <c r="E214" s="10">
        <f>+E10-E109</f>
        <v>-380700</v>
      </c>
      <c r="F214" s="1560">
        <f>IF(ISERROR(E214/D214),"-",E214/D214)</f>
        <v>0.93914896871230269</v>
      </c>
      <c r="G214" s="114">
        <f>+G10-G109</f>
        <v>-380700</v>
      </c>
      <c r="H214" s="115">
        <f>+H10-H109</f>
        <v>0</v>
      </c>
      <c r="I214" s="116">
        <f>+I10-I109</f>
        <v>0</v>
      </c>
      <c r="K214" s="4">
        <f>+E214-G214-H214-I214</f>
        <v>0</v>
      </c>
    </row>
    <row r="215" spans="1:30" ht="12.75" thickBot="1">
      <c r="A215" s="932" t="s">
        <v>82</v>
      </c>
      <c r="B215" s="933" t="s">
        <v>320</v>
      </c>
      <c r="C215" s="1111">
        <f>+C50-C149</f>
        <v>-800</v>
      </c>
      <c r="D215" s="17">
        <f>+D50-D149</f>
        <v>-6695</v>
      </c>
      <c r="E215" s="17">
        <f>+E50-E149</f>
        <v>-6695</v>
      </c>
      <c r="F215" s="1566">
        <f>IF(ISERROR(E215/D215),"-",E215/D215)</f>
        <v>1</v>
      </c>
      <c r="G215" s="934">
        <f>+G50-G149</f>
        <v>-6695</v>
      </c>
      <c r="H215" s="929">
        <f>+H50-H149</f>
        <v>0</v>
      </c>
      <c r="I215" s="930">
        <f>+I50-I149</f>
        <v>0</v>
      </c>
      <c r="K215" s="4">
        <f>+E215-G215-H215-I215</f>
        <v>0</v>
      </c>
    </row>
    <row r="218" spans="1:30" s="1" customFormat="1" ht="15.75">
      <c r="A218" s="1790" t="s">
        <v>90</v>
      </c>
      <c r="B218" s="1790"/>
      <c r="C218" s="1790"/>
      <c r="D218" s="1790"/>
      <c r="E218" s="1790"/>
      <c r="F218" s="1790"/>
      <c r="G218" s="1790"/>
      <c r="H218" s="1790"/>
      <c r="I218" s="1790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s="876" customFormat="1" ht="12.75" thickBot="1">
      <c r="A219" s="875" t="s">
        <v>283</v>
      </c>
      <c r="C219" s="36"/>
      <c r="D219" s="36"/>
      <c r="E219" s="36"/>
      <c r="F219" s="1548"/>
      <c r="I219" s="877" t="s">
        <v>281</v>
      </c>
      <c r="K219" s="36"/>
    </row>
    <row r="220" spans="1:30" s="119" customFormat="1" ht="12.75" thickBot="1">
      <c r="A220" s="884" t="s">
        <v>4</v>
      </c>
      <c r="B220" s="905" t="s">
        <v>321</v>
      </c>
      <c r="C220" s="1103">
        <f>+C221+C228</f>
        <v>380278</v>
      </c>
      <c r="D220" s="28">
        <f>+D221+D228</f>
        <v>412062</v>
      </c>
      <c r="E220" s="28">
        <f>+E221+E228</f>
        <v>387505</v>
      </c>
      <c r="F220" s="1558">
        <f t="shared" ref="F220:F234" si="10">IF(ISERROR(E220/D220),"-",E220/D220)</f>
        <v>0.94040459930787113</v>
      </c>
      <c r="G220" s="110">
        <f>+G221+G228</f>
        <v>387505</v>
      </c>
      <c r="H220" s="111">
        <f>+H221+H228</f>
        <v>0</v>
      </c>
      <c r="I220" s="112">
        <f>+I221+I228</f>
        <v>0</v>
      </c>
      <c r="K220" s="3">
        <f t="shared" ref="K220:K234" si="11">+E220-G220-H220-I220</f>
        <v>0</v>
      </c>
    </row>
    <row r="221" spans="1:30" s="119" customFormat="1" ht="12.75" thickBot="1">
      <c r="A221" s="884" t="s">
        <v>5</v>
      </c>
      <c r="B221" s="891" t="s">
        <v>322</v>
      </c>
      <c r="C221" s="1103">
        <f>+C222-C225</f>
        <v>379478</v>
      </c>
      <c r="D221" s="28">
        <f>+D222-D225</f>
        <v>405367</v>
      </c>
      <c r="E221" s="28">
        <f>+E222-E225</f>
        <v>380810</v>
      </c>
      <c r="F221" s="1558">
        <f t="shared" si="10"/>
        <v>0.93942032775238238</v>
      </c>
      <c r="G221" s="110">
        <f>+G222-G225</f>
        <v>380810</v>
      </c>
      <c r="H221" s="111">
        <f>+H222-H225</f>
        <v>0</v>
      </c>
      <c r="I221" s="112">
        <f>+I222-I225</f>
        <v>0</v>
      </c>
      <c r="K221" s="3">
        <f t="shared" si="11"/>
        <v>0</v>
      </c>
    </row>
    <row r="222" spans="1:30">
      <c r="A222" s="892" t="s">
        <v>54</v>
      </c>
      <c r="B222" s="113" t="s">
        <v>323</v>
      </c>
      <c r="C222" s="1104">
        <f>+C223+C224</f>
        <v>379478</v>
      </c>
      <c r="D222" s="10">
        <f>+D223+D224</f>
        <v>405367</v>
      </c>
      <c r="E222" s="10">
        <f>+E223+E224</f>
        <v>380810</v>
      </c>
      <c r="F222" s="1560">
        <f t="shared" si="10"/>
        <v>0.93942032775238238</v>
      </c>
      <c r="G222" s="114">
        <f>+G223+G224</f>
        <v>380810</v>
      </c>
      <c r="H222" s="115">
        <f>+H223+H224</f>
        <v>0</v>
      </c>
      <c r="I222" s="116">
        <f>+I223+I224</f>
        <v>0</v>
      </c>
      <c r="K222" s="4">
        <f t="shared" si="11"/>
        <v>0</v>
      </c>
    </row>
    <row r="223" spans="1:30" s="117" customFormat="1">
      <c r="A223" s="108" t="s">
        <v>190</v>
      </c>
      <c r="B223" s="109" t="s">
        <v>285</v>
      </c>
      <c r="C223" s="1105">
        <f>+C76+C80</f>
        <v>0</v>
      </c>
      <c r="D223" s="12">
        <f>+D76+D80</f>
        <v>206</v>
      </c>
      <c r="E223" s="12">
        <f>+E76+E80</f>
        <v>206</v>
      </c>
      <c r="F223" s="1562">
        <f t="shared" si="10"/>
        <v>1</v>
      </c>
      <c r="G223" s="656">
        <f>+G76+G80</f>
        <v>206</v>
      </c>
      <c r="H223" s="657">
        <f>+H76+H80</f>
        <v>0</v>
      </c>
      <c r="I223" s="658">
        <f>+I76+I80</f>
        <v>0</v>
      </c>
      <c r="K223" s="13">
        <f t="shared" si="11"/>
        <v>0</v>
      </c>
    </row>
    <row r="224" spans="1:30" s="117" customFormat="1">
      <c r="A224" s="108" t="s">
        <v>191</v>
      </c>
      <c r="B224" s="109" t="s">
        <v>286</v>
      </c>
      <c r="C224" s="1105">
        <f>+C74+C75+C77+C78+C79+C81</f>
        <v>379478</v>
      </c>
      <c r="D224" s="12">
        <f>+D74+D75+D77+D78+D79+D81</f>
        <v>405161</v>
      </c>
      <c r="E224" s="12">
        <f>+E74+E75+E77+E78+E79+E81</f>
        <v>380604</v>
      </c>
      <c r="F224" s="1562">
        <f t="shared" si="10"/>
        <v>0.93938952663262254</v>
      </c>
      <c r="G224" s="656">
        <f>+G74+G75+G77+G78+G79+G81</f>
        <v>380604</v>
      </c>
      <c r="H224" s="657">
        <f>+H74+H75+H77+H78+H79+H81</f>
        <v>0</v>
      </c>
      <c r="I224" s="658">
        <f>+I74+I75+I77+I78+I79+I81</f>
        <v>0</v>
      </c>
      <c r="K224" s="13">
        <f t="shared" si="11"/>
        <v>0</v>
      </c>
    </row>
    <row r="225" spans="1:30">
      <c r="A225" s="896" t="s">
        <v>55</v>
      </c>
      <c r="B225" s="897" t="s">
        <v>324</v>
      </c>
      <c r="C225" s="1106">
        <f>+C227</f>
        <v>0</v>
      </c>
      <c r="D225" s="11">
        <f>+D227</f>
        <v>0</v>
      </c>
      <c r="E225" s="11">
        <f>+E227</f>
        <v>0</v>
      </c>
      <c r="F225" s="1562" t="str">
        <f t="shared" si="10"/>
        <v>-</v>
      </c>
      <c r="G225" s="866">
        <f>+G227</f>
        <v>0</v>
      </c>
      <c r="H225" s="867">
        <f>+H227</f>
        <v>0</v>
      </c>
      <c r="I225" s="868">
        <f>+I227</f>
        <v>0</v>
      </c>
      <c r="K225" s="4">
        <f t="shared" si="11"/>
        <v>0</v>
      </c>
    </row>
    <row r="226" spans="1:30" s="117" customFormat="1">
      <c r="A226" s="108" t="s">
        <v>56</v>
      </c>
      <c r="B226" s="109" t="s">
        <v>287</v>
      </c>
      <c r="C226" s="1105">
        <f>+C185</f>
        <v>0</v>
      </c>
      <c r="D226" s="12">
        <f>+D185</f>
        <v>0</v>
      </c>
      <c r="E226" s="12">
        <f>+E185</f>
        <v>0</v>
      </c>
      <c r="F226" s="1562" t="str">
        <f t="shared" si="10"/>
        <v>-</v>
      </c>
      <c r="G226" s="656">
        <f>+G185</f>
        <v>0</v>
      </c>
      <c r="H226" s="657">
        <f>+H185</f>
        <v>0</v>
      </c>
      <c r="I226" s="658">
        <f>+I185</f>
        <v>0</v>
      </c>
      <c r="K226" s="13">
        <f t="shared" si="11"/>
        <v>0</v>
      </c>
    </row>
    <row r="227" spans="1:30" s="117" customFormat="1" ht="12.75" thickBot="1">
      <c r="A227" s="900" t="s">
        <v>57</v>
      </c>
      <c r="B227" s="922" t="s">
        <v>288</v>
      </c>
      <c r="C227" s="1108">
        <f>+C180+C181+C182+C183+C184+C186+C187</f>
        <v>0</v>
      </c>
      <c r="D227" s="43">
        <f>+D180+D181+D182+D183+D184+D186+D187</f>
        <v>0</v>
      </c>
      <c r="E227" s="43">
        <f>+E180+E181+E182+E183+E184+E186+E187</f>
        <v>0</v>
      </c>
      <c r="F227" s="1561" t="str">
        <f t="shared" si="10"/>
        <v>-</v>
      </c>
      <c r="G227" s="902">
        <f>+G180+G181+G182+G183+G184+G186+G187</f>
        <v>0</v>
      </c>
      <c r="H227" s="903">
        <f>+H180+H181+H182+H183+H184+H186+H187</f>
        <v>0</v>
      </c>
      <c r="I227" s="904">
        <f>+I180+I181+I182+I183+I184+I186+I187</f>
        <v>0</v>
      </c>
      <c r="K227" s="13">
        <f t="shared" si="11"/>
        <v>0</v>
      </c>
    </row>
    <row r="228" spans="1:30" s="119" customFormat="1" ht="12.75" thickBot="1">
      <c r="A228" s="884" t="s">
        <v>6</v>
      </c>
      <c r="B228" s="891" t="s">
        <v>325</v>
      </c>
      <c r="C228" s="1103">
        <f>+C229-C232</f>
        <v>800</v>
      </c>
      <c r="D228" s="28">
        <f>+D229-D232</f>
        <v>6695</v>
      </c>
      <c r="E228" s="28">
        <f>+E229-E232</f>
        <v>6695</v>
      </c>
      <c r="F228" s="1558">
        <f t="shared" si="10"/>
        <v>1</v>
      </c>
      <c r="G228" s="110">
        <f>+G229-G232</f>
        <v>6695</v>
      </c>
      <c r="H228" s="111">
        <f>+H229-H232</f>
        <v>0</v>
      </c>
      <c r="I228" s="112">
        <f>+I229-I232</f>
        <v>0</v>
      </c>
      <c r="K228" s="3">
        <f t="shared" si="11"/>
        <v>0</v>
      </c>
    </row>
    <row r="229" spans="1:30">
      <c r="A229" s="892" t="s">
        <v>58</v>
      </c>
      <c r="B229" s="113" t="s">
        <v>326</v>
      </c>
      <c r="C229" s="1104">
        <f>+C230+C231</f>
        <v>800</v>
      </c>
      <c r="D229" s="10">
        <f>+D230+D231</f>
        <v>6695</v>
      </c>
      <c r="E229" s="10">
        <f>+E230+E231</f>
        <v>6695</v>
      </c>
      <c r="F229" s="1560">
        <f t="shared" si="10"/>
        <v>1</v>
      </c>
      <c r="G229" s="114">
        <f>+G230+G231</f>
        <v>6695</v>
      </c>
      <c r="H229" s="115">
        <f>+H230+H231</f>
        <v>0</v>
      </c>
      <c r="I229" s="116">
        <f>+I230+I231</f>
        <v>0</v>
      </c>
      <c r="K229" s="4">
        <f t="shared" si="11"/>
        <v>0</v>
      </c>
    </row>
    <row r="230" spans="1:30" s="117" customFormat="1">
      <c r="A230" s="108" t="s">
        <v>293</v>
      </c>
      <c r="B230" s="109" t="s">
        <v>291</v>
      </c>
      <c r="C230" s="1105">
        <f>+C91+C95</f>
        <v>0</v>
      </c>
      <c r="D230" s="12">
        <f>+D91+D95</f>
        <v>0</v>
      </c>
      <c r="E230" s="12">
        <f>+E91+E95</f>
        <v>0</v>
      </c>
      <c r="F230" s="1562" t="str">
        <f t="shared" si="10"/>
        <v>-</v>
      </c>
      <c r="G230" s="656">
        <f>+G91+G95</f>
        <v>0</v>
      </c>
      <c r="H230" s="657">
        <f>+H91+H95</f>
        <v>0</v>
      </c>
      <c r="I230" s="658">
        <f>+I91+I95</f>
        <v>0</v>
      </c>
      <c r="K230" s="13">
        <f t="shared" si="11"/>
        <v>0</v>
      </c>
    </row>
    <row r="231" spans="1:30" s="117" customFormat="1">
      <c r="A231" s="108" t="s">
        <v>294</v>
      </c>
      <c r="B231" s="109" t="s">
        <v>292</v>
      </c>
      <c r="C231" s="1105">
        <f>+C89+C90+C92+C93+C94+C96</f>
        <v>800</v>
      </c>
      <c r="D231" s="12">
        <f>+D89+D90+D92+D93+D94+D96</f>
        <v>6695</v>
      </c>
      <c r="E231" s="12">
        <f>+E89+E90+E92+E93+E94+E96</f>
        <v>6695</v>
      </c>
      <c r="F231" s="1562">
        <f t="shared" si="10"/>
        <v>1</v>
      </c>
      <c r="G231" s="656">
        <f>+G89+G90+G92+G93+G94+G96</f>
        <v>6695</v>
      </c>
      <c r="H231" s="657">
        <f>+H89+H90+H92+H93+H94+H96</f>
        <v>0</v>
      </c>
      <c r="I231" s="658">
        <f>+I89+I90+I92+I93+I94+I96</f>
        <v>0</v>
      </c>
      <c r="K231" s="13">
        <f t="shared" si="11"/>
        <v>0</v>
      </c>
    </row>
    <row r="232" spans="1:30">
      <c r="A232" s="896" t="s">
        <v>59</v>
      </c>
      <c r="B232" s="897" t="s">
        <v>327</v>
      </c>
      <c r="C232" s="1106">
        <f>+C233+C234</f>
        <v>0</v>
      </c>
      <c r="D232" s="11">
        <f>+D233+D234</f>
        <v>0</v>
      </c>
      <c r="E232" s="11">
        <f>+E233+E234</f>
        <v>0</v>
      </c>
      <c r="F232" s="1562" t="str">
        <f t="shared" si="10"/>
        <v>-</v>
      </c>
      <c r="G232" s="866">
        <f>+G233+G234</f>
        <v>0</v>
      </c>
      <c r="H232" s="867">
        <f>+H233+H234</f>
        <v>0</v>
      </c>
      <c r="I232" s="868">
        <f>+I233+I234</f>
        <v>0</v>
      </c>
      <c r="K232" s="4">
        <f t="shared" si="11"/>
        <v>0</v>
      </c>
    </row>
    <row r="233" spans="1:30" s="117" customFormat="1">
      <c r="A233" s="108" t="s">
        <v>295</v>
      </c>
      <c r="B233" s="109" t="s">
        <v>289</v>
      </c>
      <c r="C233" s="1105">
        <f>+C200</f>
        <v>0</v>
      </c>
      <c r="D233" s="12">
        <f>+D200</f>
        <v>0</v>
      </c>
      <c r="E233" s="12">
        <f>+E200</f>
        <v>0</v>
      </c>
      <c r="F233" s="1562" t="str">
        <f t="shared" si="10"/>
        <v>-</v>
      </c>
      <c r="G233" s="656">
        <f>+G200</f>
        <v>0</v>
      </c>
      <c r="H233" s="657">
        <f>+H200</f>
        <v>0</v>
      </c>
      <c r="I233" s="658">
        <f>+I200</f>
        <v>0</v>
      </c>
      <c r="K233" s="13">
        <f t="shared" si="11"/>
        <v>0</v>
      </c>
    </row>
    <row r="234" spans="1:30" s="117" customFormat="1" ht="12.75" thickBot="1">
      <c r="A234" s="935" t="s">
        <v>296</v>
      </c>
      <c r="B234" s="936" t="s">
        <v>290</v>
      </c>
      <c r="C234" s="1112">
        <f>+C195+C196+C197+C198+C199+C201+C202</f>
        <v>0</v>
      </c>
      <c r="D234" s="41">
        <f>+D195+D196+D197+D198+D199+D201+D202</f>
        <v>0</v>
      </c>
      <c r="E234" s="41">
        <f>+E195+E196+E197+E198+E199+E201+E202</f>
        <v>0</v>
      </c>
      <c r="F234" s="1566" t="str">
        <f t="shared" si="10"/>
        <v>-</v>
      </c>
      <c r="G234" s="937">
        <f>+G195+G196+G197+G198+G199+G201+G202</f>
        <v>0</v>
      </c>
      <c r="H234" s="938">
        <f>+H195+H196+H197+H198+H199+H201+H202</f>
        <v>0</v>
      </c>
      <c r="I234" s="939">
        <f>+I195+I196+I197+I198+I199+I201+I202</f>
        <v>0</v>
      </c>
      <c r="K234" s="13">
        <f t="shared" si="11"/>
        <v>0</v>
      </c>
    </row>
    <row r="237" spans="1:30" s="1" customFormat="1" ht="15.75">
      <c r="A237" s="1790" t="s">
        <v>1307</v>
      </c>
      <c r="B237" s="1790"/>
      <c r="C237" s="1790"/>
      <c r="D237" s="1790"/>
      <c r="E237" s="1790"/>
      <c r="F237" s="1790"/>
      <c r="G237" s="1790"/>
      <c r="H237" s="1790"/>
      <c r="I237" s="179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876" customFormat="1" ht="12.75" thickBot="1">
      <c r="A238" s="875" t="s">
        <v>284</v>
      </c>
      <c r="C238" s="36"/>
      <c r="D238" s="36"/>
      <c r="E238" s="36"/>
      <c r="F238" s="1548"/>
      <c r="I238" s="877"/>
      <c r="K238" s="36"/>
    </row>
    <row r="239" spans="1:30" s="119" customFormat="1">
      <c r="A239" s="940" t="s">
        <v>4</v>
      </c>
      <c r="B239" s="941" t="s">
        <v>91</v>
      </c>
      <c r="C239" s="1113">
        <v>69</v>
      </c>
      <c r="D239" s="55">
        <v>69</v>
      </c>
      <c r="E239" s="55">
        <f>58+10</f>
        <v>68</v>
      </c>
      <c r="F239" s="1559">
        <f>IF(ISERROR(E239/D239),"-",E239/D239)</f>
        <v>0.98550724637681164</v>
      </c>
      <c r="G239" s="942">
        <v>68</v>
      </c>
      <c r="H239" s="943"/>
      <c r="I239" s="944"/>
      <c r="K239" s="3">
        <f>+E239-G239-H239-I239</f>
        <v>0</v>
      </c>
    </row>
    <row r="240" spans="1:30" s="117" customFormat="1">
      <c r="A240" s="900" t="s">
        <v>351</v>
      </c>
      <c r="B240" s="945" t="s">
        <v>352</v>
      </c>
      <c r="C240" s="1114"/>
      <c r="D240" s="101"/>
      <c r="E240" s="101"/>
      <c r="F240" s="1561" t="str">
        <f>IF(ISERROR(E240/D240),"-",E240/D240)</f>
        <v>-</v>
      </c>
      <c r="G240" s="946"/>
      <c r="H240" s="947"/>
      <c r="I240" s="948"/>
      <c r="K240" s="13">
        <f>+E240-G240-H240-I240</f>
        <v>0</v>
      </c>
    </row>
    <row r="241" spans="1:11" s="119" customFormat="1" ht="12.75" thickBot="1">
      <c r="A241" s="949" t="s">
        <v>5</v>
      </c>
      <c r="B241" s="950" t="s">
        <v>92</v>
      </c>
      <c r="C241" s="1115"/>
      <c r="D241" s="58"/>
      <c r="E241" s="58"/>
      <c r="F241" s="1567" t="str">
        <f>IF(ISERROR(E241/D241),"-",E241/D241)</f>
        <v>-</v>
      </c>
      <c r="G241" s="951"/>
      <c r="H241" s="952"/>
      <c r="I241" s="953"/>
      <c r="K241" s="3">
        <f>+E241-G241-H241-I241</f>
        <v>0</v>
      </c>
    </row>
    <row r="242" spans="1:11" s="119" customFormat="1" ht="12.75" thickBot="1">
      <c r="A242" s="884" t="s">
        <v>6</v>
      </c>
      <c r="B242" s="905" t="s">
        <v>330</v>
      </c>
      <c r="C242" s="1116">
        <f>+C239+C241</f>
        <v>69</v>
      </c>
      <c r="D242" s="61">
        <f>+D239+D241</f>
        <v>69</v>
      </c>
      <c r="E242" s="61">
        <f>+E239+E241</f>
        <v>68</v>
      </c>
      <c r="F242" s="1558">
        <f>IF(ISERROR(E242/D242),"-",E242/D242)</f>
        <v>0.98550724637681164</v>
      </c>
      <c r="G242" s="954">
        <f>+G239+G241</f>
        <v>68</v>
      </c>
      <c r="H242" s="955">
        <f>+H239+H241</f>
        <v>0</v>
      </c>
      <c r="I242" s="956">
        <f>+I239+I241</f>
        <v>0</v>
      </c>
      <c r="K242" s="3">
        <f>+E242-G242-H242-I242</f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conditionalFormatting sqref="F26:F31 F89:F100 F65:F69 F59:F63 F52:F57 F45:F49 F33:F43 F13:F24 F195:F206 F180:F191 F166:F175 F151:F158 F147:F148 F133:F145 F124:F131 F117:F122 F111:F115 F160:F164 F74:F85">
    <cfRule type="cellIs" dxfId="8" priority="2" stopIfTrue="1" operator="equal">
      <formula>0</formula>
    </cfRule>
  </conditionalFormatting>
  <conditionalFormatting sqref="F65:F69 F59:F63 F52:F57 F45:F49 F33:F43 F13:F24 F195:F206 F180:F191 F166:F175 F160:F164 F151:F158 F147:F148 F133:F145 F124:F131 F117:F122 F111:F115 F26:F31 F89:F100 F74:F85">
    <cfRule type="cellIs" dxfId="7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1.3. melléklet - &amp;P. oldal</oddHeader>
  </headerFooter>
  <rowBreaks count="1" manualBreakCount="1">
    <brk id="104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12">
    <tabColor rgb="FF00B0F0"/>
  </sheetPr>
  <dimension ref="A1:AD242"/>
  <sheetViews>
    <sheetView zoomScaleNormal="100" workbookViewId="0"/>
  </sheetViews>
  <sheetFormatPr defaultRowHeight="12"/>
  <cols>
    <col min="1" max="1" width="6.5703125" style="118" customWidth="1"/>
    <col min="2" max="2" width="109.5703125" style="118" bestFit="1" customWidth="1"/>
    <col min="3" max="5" width="9.28515625" style="4" customWidth="1"/>
    <col min="6" max="6" width="9.28515625" style="1565" customWidth="1"/>
    <col min="7" max="9" width="9.28515625" style="118" customWidth="1"/>
    <col min="10" max="10" width="9.140625" style="118" customWidth="1"/>
    <col min="11" max="11" width="9.140625" style="4" hidden="1" customWidth="1"/>
    <col min="12" max="12" width="9.140625" style="118" customWidth="1"/>
    <col min="13" max="16384" width="9.140625" style="118"/>
  </cols>
  <sheetData>
    <row r="1" spans="1:11" s="872" customFormat="1" ht="15.75">
      <c r="C1" s="50"/>
      <c r="D1" s="50"/>
      <c r="E1" s="50"/>
      <c r="F1" s="1547"/>
      <c r="I1" s="873" t="s">
        <v>358</v>
      </c>
      <c r="K1" s="50"/>
    </row>
    <row r="2" spans="1:11" s="872" customFormat="1" ht="15.75">
      <c r="C2" s="50"/>
      <c r="D2" s="50"/>
      <c r="E2" s="50"/>
      <c r="F2" s="1547"/>
      <c r="K2" s="50"/>
    </row>
    <row r="3" spans="1:11" s="874" customFormat="1" ht="15.75">
      <c r="A3" s="1794" t="s">
        <v>359</v>
      </c>
      <c r="B3" s="1794"/>
      <c r="C3" s="1794"/>
      <c r="D3" s="1794"/>
      <c r="E3" s="1794"/>
      <c r="F3" s="1794"/>
      <c r="G3" s="1794"/>
      <c r="H3" s="1794"/>
      <c r="I3" s="1794"/>
      <c r="K3" s="52"/>
    </row>
    <row r="4" spans="1:11" s="874" customFormat="1" ht="15.75">
      <c r="A4" s="1794" t="s">
        <v>1308</v>
      </c>
      <c r="B4" s="1794"/>
      <c r="C4" s="1794"/>
      <c r="D4" s="1794"/>
      <c r="E4" s="1794"/>
      <c r="F4" s="1794"/>
      <c r="G4" s="1794"/>
      <c r="H4" s="1794"/>
      <c r="I4" s="1794"/>
      <c r="K4" s="52"/>
    </row>
    <row r="5" spans="1:11" s="872" customFormat="1" ht="15.75">
      <c r="C5" s="50"/>
      <c r="D5" s="50"/>
      <c r="E5" s="50"/>
      <c r="F5" s="1547"/>
      <c r="K5" s="50"/>
    </row>
    <row r="6" spans="1:11" s="874" customFormat="1" ht="15.75">
      <c r="A6" s="1794" t="s">
        <v>48</v>
      </c>
      <c r="B6" s="1794"/>
      <c r="C6" s="1794"/>
      <c r="D6" s="1794"/>
      <c r="E6" s="1794"/>
      <c r="F6" s="1794"/>
      <c r="G6" s="1794"/>
      <c r="H6" s="1794"/>
      <c r="I6" s="1794"/>
      <c r="K6" s="52"/>
    </row>
    <row r="7" spans="1:11" s="876" customFormat="1" ht="12.75" thickBot="1">
      <c r="A7" s="875" t="s">
        <v>280</v>
      </c>
      <c r="C7" s="36"/>
      <c r="D7" s="36"/>
      <c r="E7" s="36"/>
      <c r="F7" s="1548"/>
      <c r="I7" s="877" t="s">
        <v>281</v>
      </c>
      <c r="K7" s="36"/>
    </row>
    <row r="8" spans="1:11" s="883" customFormat="1" ht="54" customHeight="1" thickBot="1">
      <c r="A8" s="878" t="s">
        <v>17</v>
      </c>
      <c r="B8" s="879" t="s">
        <v>328</v>
      </c>
      <c r="C8" s="1570" t="s">
        <v>1553</v>
      </c>
      <c r="D8" s="1571" t="s">
        <v>1554</v>
      </c>
      <c r="E8" s="6" t="s">
        <v>2646</v>
      </c>
      <c r="F8" s="1549" t="s">
        <v>2645</v>
      </c>
      <c r="G8" s="5" t="s">
        <v>51</v>
      </c>
      <c r="H8" s="6" t="s">
        <v>52</v>
      </c>
      <c r="I8" s="7" t="s">
        <v>53</v>
      </c>
      <c r="K8" s="8"/>
    </row>
    <row r="9" spans="1:11" s="119" customFormat="1" ht="13.5" customHeight="1" thickBot="1">
      <c r="A9" s="884" t="s">
        <v>253</v>
      </c>
      <c r="B9" s="885" t="s">
        <v>254</v>
      </c>
      <c r="C9" s="1795" t="s">
        <v>255</v>
      </c>
      <c r="D9" s="1796"/>
      <c r="E9" s="1796"/>
      <c r="F9" s="1796"/>
      <c r="G9" s="1796"/>
      <c r="H9" s="1796"/>
      <c r="I9" s="1797"/>
      <c r="K9" s="3"/>
    </row>
    <row r="10" spans="1:11" s="119" customFormat="1" ht="12.75" thickBot="1">
      <c r="A10" s="886" t="s">
        <v>4</v>
      </c>
      <c r="B10" s="887" t="s">
        <v>297</v>
      </c>
      <c r="C10" s="1102">
        <f>+C11+C25+C32+C44</f>
        <v>500</v>
      </c>
      <c r="D10" s="133">
        <f>+D11+D25+D32+D44</f>
        <v>1480</v>
      </c>
      <c r="E10" s="133">
        <f>+E11+E25+E32+E44</f>
        <v>1480</v>
      </c>
      <c r="F10" s="1550">
        <f t="shared" ref="F10:F73" si="0">IF(ISERROR(E10/D10),"-",E10/D10)</f>
        <v>1</v>
      </c>
      <c r="G10" s="888">
        <f>+G11+G25+G32+G44</f>
        <v>1480</v>
      </c>
      <c r="H10" s="889">
        <f>+H11+H25+H32+H44</f>
        <v>0</v>
      </c>
      <c r="I10" s="890">
        <f>+I11+I25+I32+I44</f>
        <v>0</v>
      </c>
      <c r="K10" s="3">
        <f t="shared" ref="K10:K73" si="1">+E10-G10-H10-I10</f>
        <v>0</v>
      </c>
    </row>
    <row r="11" spans="1:11" s="119" customFormat="1" ht="12.75" customHeight="1" thickBot="1">
      <c r="A11" s="884" t="s">
        <v>5</v>
      </c>
      <c r="B11" s="891" t="s">
        <v>298</v>
      </c>
      <c r="C11" s="1103">
        <f>+C12+C19+C20+C21+C22+C23</f>
        <v>0</v>
      </c>
      <c r="D11" s="28">
        <f>+D12+D19+D20+D21+D22+D23</f>
        <v>800</v>
      </c>
      <c r="E11" s="28">
        <f>+E12+E19+E20+E21+E22+E23</f>
        <v>800</v>
      </c>
      <c r="F11" s="1551">
        <f t="shared" si="0"/>
        <v>1</v>
      </c>
      <c r="G11" s="110">
        <f>+G12+G19+G20+G21+G22+G23</f>
        <v>800</v>
      </c>
      <c r="H11" s="111">
        <f>+H12+H19+H20+H21+H22+H23</f>
        <v>0</v>
      </c>
      <c r="I11" s="112">
        <f>+I12+I19+I20+I21+I22+I23</f>
        <v>0</v>
      </c>
      <c r="K11" s="3">
        <f t="shared" si="1"/>
        <v>0</v>
      </c>
    </row>
    <row r="12" spans="1:11" s="119" customFormat="1">
      <c r="A12" s="892" t="s">
        <v>54</v>
      </c>
      <c r="B12" s="113" t="s">
        <v>299</v>
      </c>
      <c r="C12" s="1104">
        <f>+C13+C14+C15+C16+C17+C18</f>
        <v>0</v>
      </c>
      <c r="D12" s="10">
        <f>+D13+D14+D15+D16+D17+D18</f>
        <v>0</v>
      </c>
      <c r="E12" s="10">
        <f>+E13+E14+E15+E16+E17+E18</f>
        <v>0</v>
      </c>
      <c r="F12" s="1552" t="str">
        <f t="shared" si="0"/>
        <v>-</v>
      </c>
      <c r="G12" s="893">
        <f>+G13+G14+G15+G16+G17+G18</f>
        <v>0</v>
      </c>
      <c r="H12" s="894">
        <f>+H13+H14+H15+H16+H17+H18</f>
        <v>0</v>
      </c>
      <c r="I12" s="895">
        <f>+I13+I14+I15+I16+I17+I18</f>
        <v>0</v>
      </c>
      <c r="K12" s="4">
        <f t="shared" si="1"/>
        <v>0</v>
      </c>
    </row>
    <row r="13" spans="1:11" s="117" customFormat="1">
      <c r="A13" s="108" t="s">
        <v>190</v>
      </c>
      <c r="B13" s="109" t="s">
        <v>93</v>
      </c>
      <c r="C13" s="1105"/>
      <c r="D13" s="12"/>
      <c r="E13" s="12"/>
      <c r="F13" s="1553" t="str">
        <f t="shared" si="0"/>
        <v>-</v>
      </c>
      <c r="G13" s="656"/>
      <c r="H13" s="657"/>
      <c r="I13" s="658"/>
      <c r="K13" s="13">
        <f t="shared" si="1"/>
        <v>0</v>
      </c>
    </row>
    <row r="14" spans="1:11" s="117" customFormat="1">
      <c r="A14" s="108" t="s">
        <v>191</v>
      </c>
      <c r="B14" s="109" t="s">
        <v>94</v>
      </c>
      <c r="C14" s="1105"/>
      <c r="D14" s="12"/>
      <c r="E14" s="12"/>
      <c r="F14" s="1553" t="str">
        <f t="shared" si="0"/>
        <v>-</v>
      </c>
      <c r="G14" s="656"/>
      <c r="H14" s="657"/>
      <c r="I14" s="658"/>
      <c r="K14" s="13">
        <f t="shared" si="1"/>
        <v>0</v>
      </c>
    </row>
    <row r="15" spans="1:11" s="117" customFormat="1">
      <c r="A15" s="108" t="s">
        <v>192</v>
      </c>
      <c r="B15" s="109" t="s">
        <v>95</v>
      </c>
      <c r="C15" s="1105"/>
      <c r="D15" s="12"/>
      <c r="E15" s="12"/>
      <c r="F15" s="1553" t="str">
        <f t="shared" si="0"/>
        <v>-</v>
      </c>
      <c r="G15" s="656"/>
      <c r="H15" s="657"/>
      <c r="I15" s="658"/>
      <c r="K15" s="13">
        <f t="shared" si="1"/>
        <v>0</v>
      </c>
    </row>
    <row r="16" spans="1:11" s="117" customFormat="1">
      <c r="A16" s="108" t="s">
        <v>193</v>
      </c>
      <c r="B16" s="109" t="s">
        <v>96</v>
      </c>
      <c r="C16" s="1105"/>
      <c r="D16" s="12"/>
      <c r="E16" s="12"/>
      <c r="F16" s="1553" t="str">
        <f t="shared" si="0"/>
        <v>-</v>
      </c>
      <c r="G16" s="656"/>
      <c r="H16" s="657"/>
      <c r="I16" s="658"/>
      <c r="K16" s="13">
        <f t="shared" si="1"/>
        <v>0</v>
      </c>
    </row>
    <row r="17" spans="1:11" s="117" customFormat="1">
      <c r="A17" s="108" t="s">
        <v>194</v>
      </c>
      <c r="B17" s="109" t="s">
        <v>899</v>
      </c>
      <c r="C17" s="1105"/>
      <c r="D17" s="12"/>
      <c r="E17" s="12"/>
      <c r="F17" s="1554" t="str">
        <f t="shared" si="0"/>
        <v>-</v>
      </c>
      <c r="G17" s="656"/>
      <c r="H17" s="657"/>
      <c r="I17" s="658"/>
      <c r="K17" s="13">
        <f t="shared" si="1"/>
        <v>0</v>
      </c>
    </row>
    <row r="18" spans="1:11" s="117" customFormat="1">
      <c r="A18" s="108" t="s">
        <v>195</v>
      </c>
      <c r="B18" s="109" t="s">
        <v>900</v>
      </c>
      <c r="C18" s="1105"/>
      <c r="D18" s="12"/>
      <c r="E18" s="12"/>
      <c r="F18" s="1554" t="str">
        <f t="shared" si="0"/>
        <v>-</v>
      </c>
      <c r="G18" s="656"/>
      <c r="H18" s="657"/>
      <c r="I18" s="658"/>
      <c r="K18" s="13">
        <f t="shared" si="1"/>
        <v>0</v>
      </c>
    </row>
    <row r="19" spans="1:11">
      <c r="A19" s="896" t="s">
        <v>55</v>
      </c>
      <c r="B19" s="897" t="s">
        <v>97</v>
      </c>
      <c r="C19" s="1106"/>
      <c r="D19" s="11"/>
      <c r="E19" s="11"/>
      <c r="F19" s="1553" t="str">
        <f t="shared" si="0"/>
        <v>-</v>
      </c>
      <c r="G19" s="866"/>
      <c r="H19" s="867"/>
      <c r="I19" s="868"/>
      <c r="K19" s="4">
        <f t="shared" si="1"/>
        <v>0</v>
      </c>
    </row>
    <row r="20" spans="1:11">
      <c r="A20" s="896" t="s">
        <v>83</v>
      </c>
      <c r="B20" s="897" t="s">
        <v>98</v>
      </c>
      <c r="C20" s="1106"/>
      <c r="D20" s="11"/>
      <c r="E20" s="11"/>
      <c r="F20" s="1553" t="str">
        <f t="shared" si="0"/>
        <v>-</v>
      </c>
      <c r="G20" s="866"/>
      <c r="H20" s="867"/>
      <c r="I20" s="868"/>
      <c r="K20" s="4">
        <f t="shared" si="1"/>
        <v>0</v>
      </c>
    </row>
    <row r="21" spans="1:11">
      <c r="A21" s="896" t="s">
        <v>84</v>
      </c>
      <c r="B21" s="897" t="s">
        <v>99</v>
      </c>
      <c r="C21" s="1106"/>
      <c r="D21" s="11"/>
      <c r="E21" s="11"/>
      <c r="F21" s="1553" t="str">
        <f t="shared" si="0"/>
        <v>-</v>
      </c>
      <c r="G21" s="866"/>
      <c r="H21" s="867"/>
      <c r="I21" s="868"/>
      <c r="K21" s="4">
        <f t="shared" si="1"/>
        <v>0</v>
      </c>
    </row>
    <row r="22" spans="1:11">
      <c r="A22" s="896" t="s">
        <v>85</v>
      </c>
      <c r="B22" s="897" t="s">
        <v>100</v>
      </c>
      <c r="C22" s="1106"/>
      <c r="D22" s="11"/>
      <c r="E22" s="11"/>
      <c r="F22" s="1553" t="str">
        <f t="shared" si="0"/>
        <v>-</v>
      </c>
      <c r="G22" s="866"/>
      <c r="H22" s="867"/>
      <c r="I22" s="868"/>
      <c r="K22" s="4">
        <f t="shared" si="1"/>
        <v>0</v>
      </c>
    </row>
    <row r="23" spans="1:11">
      <c r="A23" s="898" t="s">
        <v>86</v>
      </c>
      <c r="B23" s="899" t="s">
        <v>101</v>
      </c>
      <c r="C23" s="1107"/>
      <c r="D23" s="22">
        <v>800</v>
      </c>
      <c r="E23" s="22">
        <v>800</v>
      </c>
      <c r="F23" s="1555">
        <f t="shared" si="0"/>
        <v>1</v>
      </c>
      <c r="G23" s="869">
        <v>800</v>
      </c>
      <c r="H23" s="870"/>
      <c r="I23" s="871"/>
      <c r="K23" s="4">
        <f t="shared" si="1"/>
        <v>0</v>
      </c>
    </row>
    <row r="24" spans="1:11" s="117" customFormat="1" ht="12.75" thickBot="1">
      <c r="A24" s="900" t="s">
        <v>332</v>
      </c>
      <c r="B24" s="901" t="s">
        <v>333</v>
      </c>
      <c r="C24" s="1108"/>
      <c r="D24" s="43"/>
      <c r="E24" s="43"/>
      <c r="F24" s="1555" t="str">
        <f t="shared" si="0"/>
        <v>-</v>
      </c>
      <c r="G24" s="902"/>
      <c r="H24" s="903"/>
      <c r="I24" s="904"/>
      <c r="K24" s="13">
        <f t="shared" si="1"/>
        <v>0</v>
      </c>
    </row>
    <row r="25" spans="1:11" s="119" customFormat="1" ht="12.75" customHeight="1" thickBot="1">
      <c r="A25" s="884" t="s">
        <v>6</v>
      </c>
      <c r="B25" s="891" t="s">
        <v>785</v>
      </c>
      <c r="C25" s="1103">
        <f>+C26+C27+C28+C29+C30+C31</f>
        <v>0</v>
      </c>
      <c r="D25" s="28">
        <f>+D26+D27+D28+D29+D30+D31</f>
        <v>0</v>
      </c>
      <c r="E25" s="28">
        <f>+E26+E27+E28+E29+E30+E31</f>
        <v>0</v>
      </c>
      <c r="F25" s="1551" t="str">
        <f t="shared" si="0"/>
        <v>-</v>
      </c>
      <c r="G25" s="110">
        <f>+G26+G27+G28+G29+G30+G31</f>
        <v>0</v>
      </c>
      <c r="H25" s="111">
        <f>+H26+H27+H28+H29+H30+H31</f>
        <v>0</v>
      </c>
      <c r="I25" s="112">
        <f>+I26+I27+I28+I29+I30+I31</f>
        <v>0</v>
      </c>
      <c r="K25" s="3">
        <f t="shared" si="1"/>
        <v>0</v>
      </c>
    </row>
    <row r="26" spans="1:11" ht="12.75" customHeight="1">
      <c r="A26" s="892" t="s">
        <v>58</v>
      </c>
      <c r="B26" s="113" t="s">
        <v>102</v>
      </c>
      <c r="C26" s="1104"/>
      <c r="D26" s="10"/>
      <c r="E26" s="10"/>
      <c r="F26" s="1552" t="str">
        <f t="shared" si="0"/>
        <v>-</v>
      </c>
      <c r="G26" s="114"/>
      <c r="H26" s="115"/>
      <c r="I26" s="116"/>
      <c r="K26" s="4">
        <f t="shared" si="1"/>
        <v>0</v>
      </c>
    </row>
    <row r="27" spans="1:11" ht="12.75" customHeight="1">
      <c r="A27" s="896" t="s">
        <v>59</v>
      </c>
      <c r="B27" s="897" t="s">
        <v>103</v>
      </c>
      <c r="C27" s="1106"/>
      <c r="D27" s="11"/>
      <c r="E27" s="11"/>
      <c r="F27" s="1553" t="str">
        <f t="shared" si="0"/>
        <v>-</v>
      </c>
      <c r="G27" s="866"/>
      <c r="H27" s="867"/>
      <c r="I27" s="868"/>
      <c r="K27" s="4">
        <f t="shared" si="1"/>
        <v>0</v>
      </c>
    </row>
    <row r="28" spans="1:11" ht="12.75" customHeight="1">
      <c r="A28" s="896" t="s">
        <v>60</v>
      </c>
      <c r="B28" s="897" t="s">
        <v>104</v>
      </c>
      <c r="C28" s="1106"/>
      <c r="D28" s="11"/>
      <c r="E28" s="11"/>
      <c r="F28" s="1553" t="str">
        <f t="shared" si="0"/>
        <v>-</v>
      </c>
      <c r="G28" s="866"/>
      <c r="H28" s="867"/>
      <c r="I28" s="868"/>
      <c r="K28" s="4">
        <f t="shared" si="1"/>
        <v>0</v>
      </c>
    </row>
    <row r="29" spans="1:11" ht="12.75" customHeight="1">
      <c r="A29" s="896" t="s">
        <v>180</v>
      </c>
      <c r="B29" s="897" t="s">
        <v>105</v>
      </c>
      <c r="C29" s="1106"/>
      <c r="D29" s="11"/>
      <c r="E29" s="11"/>
      <c r="F29" s="1553" t="str">
        <f t="shared" si="0"/>
        <v>-</v>
      </c>
      <c r="G29" s="866"/>
      <c r="H29" s="867"/>
      <c r="I29" s="868"/>
      <c r="K29" s="4">
        <f t="shared" si="1"/>
        <v>0</v>
      </c>
    </row>
    <row r="30" spans="1:11" ht="12.75" customHeight="1">
      <c r="A30" s="898" t="s">
        <v>181</v>
      </c>
      <c r="B30" s="899" t="s">
        <v>106</v>
      </c>
      <c r="C30" s="1107"/>
      <c r="D30" s="22"/>
      <c r="E30" s="22"/>
      <c r="F30" s="1555" t="str">
        <f t="shared" si="0"/>
        <v>-</v>
      </c>
      <c r="G30" s="866"/>
      <c r="H30" s="867"/>
      <c r="I30" s="868"/>
      <c r="K30" s="4">
        <f t="shared" si="1"/>
        <v>0</v>
      </c>
    </row>
    <row r="31" spans="1:11" ht="12.75" customHeight="1" thickBot="1">
      <c r="A31" s="898" t="s">
        <v>784</v>
      </c>
      <c r="B31" s="899" t="s">
        <v>786</v>
      </c>
      <c r="C31" s="1107"/>
      <c r="D31" s="22"/>
      <c r="E31" s="22"/>
      <c r="F31" s="1555" t="str">
        <f t="shared" si="0"/>
        <v>-</v>
      </c>
      <c r="G31" s="866"/>
      <c r="H31" s="867"/>
      <c r="I31" s="868"/>
      <c r="K31" s="4">
        <f t="shared" si="1"/>
        <v>0</v>
      </c>
    </row>
    <row r="32" spans="1:11" s="119" customFormat="1" ht="12.75" customHeight="1" thickBot="1">
      <c r="A32" s="884" t="s">
        <v>3</v>
      </c>
      <c r="B32" s="891" t="s">
        <v>975</v>
      </c>
      <c r="C32" s="1103">
        <f>+C33+C34+C35+C36+C37+C38+C39+C40+C41+C42+C43</f>
        <v>500</v>
      </c>
      <c r="D32" s="28">
        <f>+D33+D34+D35+D36+D37+D38+D39+D40+D41+D42+D43</f>
        <v>676</v>
      </c>
      <c r="E32" s="28">
        <f>+E33+E34+E35+E36+E37+E38+E39+E40+E41+E42+E43</f>
        <v>676</v>
      </c>
      <c r="F32" s="1551">
        <f t="shared" si="0"/>
        <v>1</v>
      </c>
      <c r="G32" s="110">
        <f>+G33+G34+G35+G36+G37+G38+G39+G40+G41+G42+G43</f>
        <v>676</v>
      </c>
      <c r="H32" s="111">
        <f>+H33+H34+H35+H36+H37+H38+H39+H40+H41+H42+H43</f>
        <v>0</v>
      </c>
      <c r="I32" s="112">
        <f>+I33+I34+I35+I36+I37+I38+I39+I40+I41+I42+I43</f>
        <v>0</v>
      </c>
      <c r="K32" s="3">
        <f t="shared" si="1"/>
        <v>0</v>
      </c>
    </row>
    <row r="33" spans="1:11" ht="12.75" customHeight="1">
      <c r="A33" s="892" t="s">
        <v>61</v>
      </c>
      <c r="B33" s="113" t="s">
        <v>107</v>
      </c>
      <c r="C33" s="1104"/>
      <c r="D33" s="10"/>
      <c r="E33" s="10"/>
      <c r="F33" s="1552" t="str">
        <f t="shared" si="0"/>
        <v>-</v>
      </c>
      <c r="G33" s="114"/>
      <c r="H33" s="115"/>
      <c r="I33" s="116"/>
      <c r="K33" s="4">
        <f t="shared" si="1"/>
        <v>0</v>
      </c>
    </row>
    <row r="34" spans="1:11" ht="12.75" customHeight="1">
      <c r="A34" s="896" t="s">
        <v>62</v>
      </c>
      <c r="B34" s="897" t="s">
        <v>108</v>
      </c>
      <c r="C34" s="1106">
        <v>500</v>
      </c>
      <c r="D34" s="11">
        <v>676</v>
      </c>
      <c r="E34" s="11">
        <v>676</v>
      </c>
      <c r="F34" s="1553">
        <f t="shared" si="0"/>
        <v>1</v>
      </c>
      <c r="G34" s="866">
        <v>676</v>
      </c>
      <c r="H34" s="867"/>
      <c r="I34" s="868"/>
      <c r="K34" s="4">
        <f t="shared" si="1"/>
        <v>0</v>
      </c>
    </row>
    <row r="35" spans="1:11" ht="12.75" customHeight="1">
      <c r="A35" s="896" t="s">
        <v>63</v>
      </c>
      <c r="B35" s="897" t="s">
        <v>109</v>
      </c>
      <c r="C35" s="1106"/>
      <c r="D35" s="11"/>
      <c r="E35" s="11"/>
      <c r="F35" s="1553" t="str">
        <f t="shared" si="0"/>
        <v>-</v>
      </c>
      <c r="G35" s="866"/>
      <c r="H35" s="867"/>
      <c r="I35" s="868"/>
      <c r="K35" s="4">
        <f t="shared" si="1"/>
        <v>0</v>
      </c>
    </row>
    <row r="36" spans="1:11" ht="12.75" customHeight="1">
      <c r="A36" s="896" t="s">
        <v>64</v>
      </c>
      <c r="B36" s="897" t="s">
        <v>110</v>
      </c>
      <c r="C36" s="1106"/>
      <c r="D36" s="11"/>
      <c r="E36" s="11"/>
      <c r="F36" s="1553" t="str">
        <f t="shared" si="0"/>
        <v>-</v>
      </c>
      <c r="G36" s="866"/>
      <c r="H36" s="867"/>
      <c r="I36" s="868"/>
      <c r="K36" s="4">
        <f t="shared" si="1"/>
        <v>0</v>
      </c>
    </row>
    <row r="37" spans="1:11" ht="12.75" customHeight="1">
      <c r="A37" s="896" t="s">
        <v>65</v>
      </c>
      <c r="B37" s="897" t="s">
        <v>111</v>
      </c>
      <c r="C37" s="1106"/>
      <c r="D37" s="11"/>
      <c r="E37" s="11"/>
      <c r="F37" s="1553" t="str">
        <f t="shared" si="0"/>
        <v>-</v>
      </c>
      <c r="G37" s="866"/>
      <c r="H37" s="867"/>
      <c r="I37" s="868"/>
      <c r="K37" s="4">
        <f t="shared" si="1"/>
        <v>0</v>
      </c>
    </row>
    <row r="38" spans="1:11" ht="12.75" customHeight="1">
      <c r="A38" s="896" t="s">
        <v>222</v>
      </c>
      <c r="B38" s="897" t="s">
        <v>112</v>
      </c>
      <c r="C38" s="1106"/>
      <c r="D38" s="11"/>
      <c r="E38" s="11"/>
      <c r="F38" s="1553" t="str">
        <f t="shared" si="0"/>
        <v>-</v>
      </c>
      <c r="G38" s="866"/>
      <c r="H38" s="867"/>
      <c r="I38" s="868"/>
      <c r="K38" s="4">
        <f t="shared" si="1"/>
        <v>0</v>
      </c>
    </row>
    <row r="39" spans="1:11" ht="12.75" customHeight="1">
      <c r="A39" s="896" t="s">
        <v>223</v>
      </c>
      <c r="B39" s="897" t="s">
        <v>113</v>
      </c>
      <c r="C39" s="1106"/>
      <c r="D39" s="11"/>
      <c r="E39" s="11"/>
      <c r="F39" s="1553" t="str">
        <f t="shared" si="0"/>
        <v>-</v>
      </c>
      <c r="G39" s="866"/>
      <c r="H39" s="867"/>
      <c r="I39" s="868"/>
      <c r="K39" s="4">
        <f t="shared" si="1"/>
        <v>0</v>
      </c>
    </row>
    <row r="40" spans="1:11" ht="12.75" customHeight="1">
      <c r="A40" s="896" t="s">
        <v>224</v>
      </c>
      <c r="B40" s="897" t="s">
        <v>985</v>
      </c>
      <c r="C40" s="1106"/>
      <c r="D40" s="11"/>
      <c r="E40" s="11"/>
      <c r="F40" s="1553" t="str">
        <f t="shared" si="0"/>
        <v>-</v>
      </c>
      <c r="G40" s="866"/>
      <c r="H40" s="867"/>
      <c r="I40" s="868"/>
      <c r="K40" s="4">
        <f t="shared" si="1"/>
        <v>0</v>
      </c>
    </row>
    <row r="41" spans="1:11" ht="12.75" customHeight="1">
      <c r="A41" s="896" t="s">
        <v>225</v>
      </c>
      <c r="B41" s="897" t="s">
        <v>114</v>
      </c>
      <c r="C41" s="1106"/>
      <c r="D41" s="11"/>
      <c r="E41" s="11"/>
      <c r="F41" s="1553" t="str">
        <f t="shared" si="0"/>
        <v>-</v>
      </c>
      <c r="G41" s="866"/>
      <c r="H41" s="867"/>
      <c r="I41" s="868"/>
      <c r="K41" s="4">
        <f t="shared" si="1"/>
        <v>0</v>
      </c>
    </row>
    <row r="42" spans="1:11" ht="12.75" customHeight="1">
      <c r="A42" s="898" t="s">
        <v>226</v>
      </c>
      <c r="B42" s="899" t="s">
        <v>902</v>
      </c>
      <c r="C42" s="1106"/>
      <c r="D42" s="11"/>
      <c r="E42" s="11"/>
      <c r="F42" s="1553" t="str">
        <f t="shared" si="0"/>
        <v>-</v>
      </c>
      <c r="G42" s="866"/>
      <c r="H42" s="867"/>
      <c r="I42" s="868"/>
      <c r="K42" s="4">
        <f t="shared" si="1"/>
        <v>0</v>
      </c>
    </row>
    <row r="43" spans="1:11" ht="12.75" customHeight="1" thickBot="1">
      <c r="A43" s="898" t="s">
        <v>901</v>
      </c>
      <c r="B43" s="899" t="s">
        <v>903</v>
      </c>
      <c r="C43" s="1107"/>
      <c r="D43" s="22"/>
      <c r="E43" s="22"/>
      <c r="F43" s="1555" t="str">
        <f t="shared" si="0"/>
        <v>-</v>
      </c>
      <c r="G43" s="869"/>
      <c r="H43" s="870"/>
      <c r="I43" s="871"/>
      <c r="K43" s="4">
        <f t="shared" si="1"/>
        <v>0</v>
      </c>
    </row>
    <row r="44" spans="1:11" s="119" customFormat="1" ht="12.75" thickBot="1">
      <c r="A44" s="884" t="s">
        <v>16</v>
      </c>
      <c r="B44" s="891" t="s">
        <v>976</v>
      </c>
      <c r="C44" s="1103">
        <f>+C45+C46+C47+C48+C49</f>
        <v>0</v>
      </c>
      <c r="D44" s="28">
        <f>+D45+D46+D47+D48+D49</f>
        <v>4</v>
      </c>
      <c r="E44" s="28">
        <f>+E45+E46+E47+E48+E49</f>
        <v>4</v>
      </c>
      <c r="F44" s="1551">
        <f t="shared" si="0"/>
        <v>1</v>
      </c>
      <c r="G44" s="110">
        <f>+G45+G46+G47+G48+G49</f>
        <v>4</v>
      </c>
      <c r="H44" s="111">
        <f>+H45+H46+H47+H48+H49</f>
        <v>0</v>
      </c>
      <c r="I44" s="112">
        <f>+I45+I46+I47+I48+I49</f>
        <v>0</v>
      </c>
      <c r="K44" s="3">
        <f t="shared" si="1"/>
        <v>0</v>
      </c>
    </row>
    <row r="45" spans="1:11" ht="12.75" customHeight="1">
      <c r="A45" s="892" t="s">
        <v>227</v>
      </c>
      <c r="B45" s="113" t="s">
        <v>115</v>
      </c>
      <c r="C45" s="1104"/>
      <c r="D45" s="10"/>
      <c r="E45" s="10"/>
      <c r="F45" s="1552" t="str">
        <f t="shared" si="0"/>
        <v>-</v>
      </c>
      <c r="G45" s="114"/>
      <c r="H45" s="115"/>
      <c r="I45" s="116"/>
      <c r="K45" s="4">
        <f t="shared" si="1"/>
        <v>0</v>
      </c>
    </row>
    <row r="46" spans="1:11" ht="12.75" customHeight="1">
      <c r="A46" s="892" t="s">
        <v>228</v>
      </c>
      <c r="B46" s="113" t="s">
        <v>904</v>
      </c>
      <c r="C46" s="1104"/>
      <c r="D46" s="10"/>
      <c r="E46" s="10"/>
      <c r="F46" s="1552" t="str">
        <f t="shared" si="0"/>
        <v>-</v>
      </c>
      <c r="G46" s="114"/>
      <c r="H46" s="115"/>
      <c r="I46" s="116"/>
      <c r="K46" s="4">
        <f t="shared" si="1"/>
        <v>0</v>
      </c>
    </row>
    <row r="47" spans="1:11" ht="12.75" customHeight="1">
      <c r="A47" s="892" t="s">
        <v>229</v>
      </c>
      <c r="B47" s="113" t="s">
        <v>905</v>
      </c>
      <c r="C47" s="1104"/>
      <c r="D47" s="10"/>
      <c r="E47" s="10"/>
      <c r="F47" s="1552" t="str">
        <f t="shared" si="0"/>
        <v>-</v>
      </c>
      <c r="G47" s="114"/>
      <c r="H47" s="115"/>
      <c r="I47" s="116"/>
      <c r="K47" s="4">
        <f t="shared" si="1"/>
        <v>0</v>
      </c>
    </row>
    <row r="48" spans="1:11" ht="12.75" customHeight="1">
      <c r="A48" s="896" t="s">
        <v>257</v>
      </c>
      <c r="B48" s="897" t="s">
        <v>906</v>
      </c>
      <c r="C48" s="1106"/>
      <c r="D48" s="11"/>
      <c r="E48" s="11"/>
      <c r="F48" s="1553" t="str">
        <f t="shared" si="0"/>
        <v>-</v>
      </c>
      <c r="G48" s="866"/>
      <c r="H48" s="867"/>
      <c r="I48" s="868"/>
      <c r="K48" s="4">
        <f t="shared" si="1"/>
        <v>0</v>
      </c>
    </row>
    <row r="49" spans="1:11" ht="12.75" customHeight="1" thickBot="1">
      <c r="A49" s="898" t="s">
        <v>258</v>
      </c>
      <c r="B49" s="899" t="s">
        <v>907</v>
      </c>
      <c r="C49" s="1107"/>
      <c r="D49" s="22">
        <v>4</v>
      </c>
      <c r="E49" s="22">
        <v>4</v>
      </c>
      <c r="F49" s="1555">
        <f t="shared" si="0"/>
        <v>1</v>
      </c>
      <c r="G49" s="869">
        <v>4</v>
      </c>
      <c r="H49" s="870"/>
      <c r="I49" s="871"/>
      <c r="K49" s="4">
        <f t="shared" si="1"/>
        <v>0</v>
      </c>
    </row>
    <row r="50" spans="1:11" s="119" customFormat="1" ht="12.75" thickBot="1">
      <c r="A50" s="884" t="s">
        <v>15</v>
      </c>
      <c r="B50" s="905" t="s">
        <v>300</v>
      </c>
      <c r="C50" s="1103">
        <f>+C51+C58+C64</f>
        <v>0</v>
      </c>
      <c r="D50" s="28">
        <f>+D51+D58+D64</f>
        <v>0</v>
      </c>
      <c r="E50" s="28">
        <f>+E51+E58+E64</f>
        <v>0</v>
      </c>
      <c r="F50" s="1551" t="str">
        <f t="shared" si="0"/>
        <v>-</v>
      </c>
      <c r="G50" s="110">
        <f>+G51+G58+G64</f>
        <v>0</v>
      </c>
      <c r="H50" s="111">
        <f>+H51+H58+H64</f>
        <v>0</v>
      </c>
      <c r="I50" s="112">
        <f>+I51+I58+I64</f>
        <v>0</v>
      </c>
      <c r="K50" s="3">
        <f t="shared" si="1"/>
        <v>0</v>
      </c>
    </row>
    <row r="51" spans="1:11" s="119" customFormat="1" ht="12.75" customHeight="1" thickBot="1">
      <c r="A51" s="884" t="s">
        <v>14</v>
      </c>
      <c r="B51" s="891" t="s">
        <v>301</v>
      </c>
      <c r="C51" s="1103">
        <f>+C52+C53+C54+C55+C56</f>
        <v>0</v>
      </c>
      <c r="D51" s="28">
        <f>+D52+D53+D54+D55+D56</f>
        <v>0</v>
      </c>
      <c r="E51" s="28">
        <f>+E52+E53+E54+E55+E56</f>
        <v>0</v>
      </c>
      <c r="F51" s="1551" t="str">
        <f t="shared" si="0"/>
        <v>-</v>
      </c>
      <c r="G51" s="110">
        <f>+G52+G53+G54+G55+G56</f>
        <v>0</v>
      </c>
      <c r="H51" s="111">
        <f>+H52+H53+H54+H55+H56</f>
        <v>0</v>
      </c>
      <c r="I51" s="112">
        <f>+I52+I53+I54+I55+I56</f>
        <v>0</v>
      </c>
      <c r="K51" s="3">
        <f t="shared" si="1"/>
        <v>0</v>
      </c>
    </row>
    <row r="52" spans="1:11">
      <c r="A52" s="892" t="s">
        <v>185</v>
      </c>
      <c r="B52" s="113" t="s">
        <v>116</v>
      </c>
      <c r="C52" s="1104"/>
      <c r="D52" s="10"/>
      <c r="E52" s="10"/>
      <c r="F52" s="1552" t="str">
        <f t="shared" si="0"/>
        <v>-</v>
      </c>
      <c r="G52" s="114"/>
      <c r="H52" s="115"/>
      <c r="I52" s="116"/>
      <c r="K52" s="4">
        <f t="shared" si="1"/>
        <v>0</v>
      </c>
    </row>
    <row r="53" spans="1:11">
      <c r="A53" s="896" t="s">
        <v>186</v>
      </c>
      <c r="B53" s="897" t="s">
        <v>117</v>
      </c>
      <c r="C53" s="1106"/>
      <c r="D53" s="11"/>
      <c r="E53" s="11"/>
      <c r="F53" s="1553" t="str">
        <f t="shared" si="0"/>
        <v>-</v>
      </c>
      <c r="G53" s="866"/>
      <c r="H53" s="867"/>
      <c r="I53" s="868"/>
      <c r="K53" s="4">
        <f t="shared" si="1"/>
        <v>0</v>
      </c>
    </row>
    <row r="54" spans="1:11">
      <c r="A54" s="896" t="s">
        <v>187</v>
      </c>
      <c r="B54" s="897" t="s">
        <v>118</v>
      </c>
      <c r="C54" s="1106"/>
      <c r="D54" s="11"/>
      <c r="E54" s="11"/>
      <c r="F54" s="1553" t="str">
        <f t="shared" si="0"/>
        <v>-</v>
      </c>
      <c r="G54" s="866"/>
      <c r="H54" s="867"/>
      <c r="I54" s="868"/>
      <c r="K54" s="4">
        <f t="shared" si="1"/>
        <v>0</v>
      </c>
    </row>
    <row r="55" spans="1:11">
      <c r="A55" s="896" t="s">
        <v>188</v>
      </c>
      <c r="B55" s="897" t="s">
        <v>119</v>
      </c>
      <c r="C55" s="1106"/>
      <c r="D55" s="11"/>
      <c r="E55" s="11"/>
      <c r="F55" s="1553" t="str">
        <f t="shared" si="0"/>
        <v>-</v>
      </c>
      <c r="G55" s="866"/>
      <c r="H55" s="867"/>
      <c r="I55" s="868"/>
      <c r="K55" s="4">
        <f t="shared" si="1"/>
        <v>0</v>
      </c>
    </row>
    <row r="56" spans="1:11">
      <c r="A56" s="898" t="s">
        <v>189</v>
      </c>
      <c r="B56" s="899" t="s">
        <v>120</v>
      </c>
      <c r="C56" s="1107"/>
      <c r="D56" s="22"/>
      <c r="E56" s="22"/>
      <c r="F56" s="1555" t="str">
        <f t="shared" si="0"/>
        <v>-</v>
      </c>
      <c r="G56" s="869"/>
      <c r="H56" s="870"/>
      <c r="I56" s="871"/>
      <c r="K56" s="4">
        <f t="shared" si="1"/>
        <v>0</v>
      </c>
    </row>
    <row r="57" spans="1:11" s="117" customFormat="1" ht="12.75" thickBot="1">
      <c r="A57" s="900" t="s">
        <v>334</v>
      </c>
      <c r="B57" s="901" t="s">
        <v>338</v>
      </c>
      <c r="C57" s="1108"/>
      <c r="D57" s="43"/>
      <c r="E57" s="43"/>
      <c r="F57" s="1555" t="str">
        <f t="shared" si="0"/>
        <v>-</v>
      </c>
      <c r="G57" s="902"/>
      <c r="H57" s="903"/>
      <c r="I57" s="904"/>
      <c r="K57" s="13">
        <f t="shared" si="1"/>
        <v>0</v>
      </c>
    </row>
    <row r="58" spans="1:11" s="119" customFormat="1" ht="12.75" customHeight="1" thickBot="1">
      <c r="A58" s="884" t="s">
        <v>13</v>
      </c>
      <c r="B58" s="891" t="s">
        <v>302</v>
      </c>
      <c r="C58" s="1103">
        <f>+C59+C60+C61+C62+C63</f>
        <v>0</v>
      </c>
      <c r="D58" s="28">
        <f>+D59+D60+D61+D62+D63</f>
        <v>0</v>
      </c>
      <c r="E58" s="28">
        <f>+E59+E60+E61+E62+E63</f>
        <v>0</v>
      </c>
      <c r="F58" s="1551" t="str">
        <f t="shared" si="0"/>
        <v>-</v>
      </c>
      <c r="G58" s="110">
        <f>+G59+G60+G61+G62+G63</f>
        <v>0</v>
      </c>
      <c r="H58" s="111">
        <f>+H59+H60+H61+H62+H63</f>
        <v>0</v>
      </c>
      <c r="I58" s="112">
        <f>+I59+I60+I61+I62+I63</f>
        <v>0</v>
      </c>
      <c r="K58" s="3">
        <f t="shared" si="1"/>
        <v>0</v>
      </c>
    </row>
    <row r="59" spans="1:11" ht="12.75" customHeight="1">
      <c r="A59" s="892" t="s">
        <v>66</v>
      </c>
      <c r="B59" s="113" t="s">
        <v>121</v>
      </c>
      <c r="C59" s="1104"/>
      <c r="D59" s="10"/>
      <c r="E59" s="10"/>
      <c r="F59" s="1552" t="str">
        <f t="shared" si="0"/>
        <v>-</v>
      </c>
      <c r="G59" s="114"/>
      <c r="H59" s="115"/>
      <c r="I59" s="116"/>
      <c r="K59" s="4">
        <f t="shared" si="1"/>
        <v>0</v>
      </c>
    </row>
    <row r="60" spans="1:11" ht="12.75" customHeight="1">
      <c r="A60" s="896" t="s">
        <v>67</v>
      </c>
      <c r="B60" s="897" t="s">
        <v>122</v>
      </c>
      <c r="C60" s="1106"/>
      <c r="D60" s="11"/>
      <c r="E60" s="11"/>
      <c r="F60" s="1553" t="str">
        <f t="shared" si="0"/>
        <v>-</v>
      </c>
      <c r="G60" s="866"/>
      <c r="H60" s="867"/>
      <c r="I60" s="868"/>
      <c r="K60" s="4">
        <f t="shared" si="1"/>
        <v>0</v>
      </c>
    </row>
    <row r="61" spans="1:11" ht="12.75" customHeight="1">
      <c r="A61" s="896" t="s">
        <v>68</v>
      </c>
      <c r="B61" s="897" t="s">
        <v>123</v>
      </c>
      <c r="C61" s="1106"/>
      <c r="D61" s="11"/>
      <c r="E61" s="11"/>
      <c r="F61" s="1553" t="str">
        <f t="shared" si="0"/>
        <v>-</v>
      </c>
      <c r="G61" s="866"/>
      <c r="H61" s="867"/>
      <c r="I61" s="868"/>
      <c r="K61" s="4">
        <f t="shared" si="1"/>
        <v>0</v>
      </c>
    </row>
    <row r="62" spans="1:11" ht="12.75" customHeight="1">
      <c r="A62" s="896" t="s">
        <v>230</v>
      </c>
      <c r="B62" s="897" t="s">
        <v>124</v>
      </c>
      <c r="C62" s="1106"/>
      <c r="D62" s="11"/>
      <c r="E62" s="11"/>
      <c r="F62" s="1553" t="str">
        <f t="shared" si="0"/>
        <v>-</v>
      </c>
      <c r="G62" s="866"/>
      <c r="H62" s="867"/>
      <c r="I62" s="868"/>
      <c r="K62" s="4">
        <f t="shared" si="1"/>
        <v>0</v>
      </c>
    </row>
    <row r="63" spans="1:11" ht="12.75" customHeight="1" thickBot="1">
      <c r="A63" s="898" t="s">
        <v>231</v>
      </c>
      <c r="B63" s="899" t="s">
        <v>125</v>
      </c>
      <c r="C63" s="1107"/>
      <c r="D63" s="22"/>
      <c r="E63" s="22"/>
      <c r="F63" s="1555" t="str">
        <f t="shared" si="0"/>
        <v>-</v>
      </c>
      <c r="G63" s="869"/>
      <c r="H63" s="870"/>
      <c r="I63" s="871"/>
      <c r="K63" s="4">
        <f t="shared" si="1"/>
        <v>0</v>
      </c>
    </row>
    <row r="64" spans="1:11" s="119" customFormat="1" ht="12.75" thickBot="1">
      <c r="A64" s="884" t="s">
        <v>12</v>
      </c>
      <c r="B64" s="891" t="s">
        <v>911</v>
      </c>
      <c r="C64" s="1103">
        <f>+C65+C66+C67+C68+C69</f>
        <v>0</v>
      </c>
      <c r="D64" s="28">
        <f>+D65+D66+D67+D68+D69</f>
        <v>0</v>
      </c>
      <c r="E64" s="28">
        <f>+E65+E66+E67+E68+E69</f>
        <v>0</v>
      </c>
      <c r="F64" s="1551" t="str">
        <f t="shared" si="0"/>
        <v>-</v>
      </c>
      <c r="G64" s="110">
        <f>+G65+G66+G67+G68+G69</f>
        <v>0</v>
      </c>
      <c r="H64" s="111">
        <f>+H65+H66+H67+H68+H69</f>
        <v>0</v>
      </c>
      <c r="I64" s="112">
        <f>+I65+I66+I67+I68+I69</f>
        <v>0</v>
      </c>
      <c r="K64" s="3">
        <f t="shared" si="1"/>
        <v>0</v>
      </c>
    </row>
    <row r="65" spans="1:11">
      <c r="A65" s="892" t="s">
        <v>69</v>
      </c>
      <c r="B65" s="113" t="s">
        <v>126</v>
      </c>
      <c r="C65" s="1104"/>
      <c r="D65" s="10"/>
      <c r="E65" s="10"/>
      <c r="F65" s="1552" t="str">
        <f t="shared" si="0"/>
        <v>-</v>
      </c>
      <c r="G65" s="114"/>
      <c r="H65" s="115"/>
      <c r="I65" s="116"/>
      <c r="K65" s="4">
        <f t="shared" si="1"/>
        <v>0</v>
      </c>
    </row>
    <row r="66" spans="1:11">
      <c r="A66" s="892" t="s">
        <v>70</v>
      </c>
      <c r="B66" s="113" t="s">
        <v>912</v>
      </c>
      <c r="C66" s="1104"/>
      <c r="D66" s="10"/>
      <c r="E66" s="10"/>
      <c r="F66" s="1552" t="str">
        <f t="shared" si="0"/>
        <v>-</v>
      </c>
      <c r="G66" s="114"/>
      <c r="H66" s="115"/>
      <c r="I66" s="116"/>
      <c r="K66" s="4">
        <f t="shared" si="1"/>
        <v>0</v>
      </c>
    </row>
    <row r="67" spans="1:11">
      <c r="A67" s="892" t="s">
        <v>71</v>
      </c>
      <c r="B67" s="113" t="s">
        <v>913</v>
      </c>
      <c r="C67" s="1104"/>
      <c r="D67" s="10"/>
      <c r="E67" s="10"/>
      <c r="F67" s="1552" t="str">
        <f t="shared" si="0"/>
        <v>-</v>
      </c>
      <c r="G67" s="114"/>
      <c r="H67" s="115"/>
      <c r="I67" s="116"/>
      <c r="K67" s="4">
        <f t="shared" si="1"/>
        <v>0</v>
      </c>
    </row>
    <row r="68" spans="1:11">
      <c r="A68" s="896" t="s">
        <v>72</v>
      </c>
      <c r="B68" s="897" t="s">
        <v>909</v>
      </c>
      <c r="C68" s="1106"/>
      <c r="D68" s="11"/>
      <c r="E68" s="11"/>
      <c r="F68" s="1553" t="str">
        <f t="shared" si="0"/>
        <v>-</v>
      </c>
      <c r="G68" s="866"/>
      <c r="H68" s="867"/>
      <c r="I68" s="868"/>
      <c r="K68" s="4">
        <f t="shared" si="1"/>
        <v>0</v>
      </c>
    </row>
    <row r="69" spans="1:11" ht="12.75" thickBot="1">
      <c r="A69" s="898" t="s">
        <v>908</v>
      </c>
      <c r="B69" s="899" t="s">
        <v>910</v>
      </c>
      <c r="C69" s="1107"/>
      <c r="D69" s="22"/>
      <c r="E69" s="22"/>
      <c r="F69" s="1555" t="str">
        <f t="shared" si="0"/>
        <v>-</v>
      </c>
      <c r="G69" s="869"/>
      <c r="H69" s="870"/>
      <c r="I69" s="871"/>
      <c r="K69" s="4">
        <f t="shared" si="1"/>
        <v>0</v>
      </c>
    </row>
    <row r="70" spans="1:11" s="119" customFormat="1" ht="12.75" thickBot="1">
      <c r="A70" s="884" t="s">
        <v>11</v>
      </c>
      <c r="B70" s="905" t="s">
        <v>303</v>
      </c>
      <c r="C70" s="1103">
        <f>+C10+C50</f>
        <v>500</v>
      </c>
      <c r="D70" s="28">
        <f>+D10+D50</f>
        <v>1480</v>
      </c>
      <c r="E70" s="28">
        <f>+E10+E50</f>
        <v>1480</v>
      </c>
      <c r="F70" s="1551">
        <f t="shared" si="0"/>
        <v>1</v>
      </c>
      <c r="G70" s="110">
        <f>+G10+G50</f>
        <v>1480</v>
      </c>
      <c r="H70" s="111">
        <f>+H10+H50</f>
        <v>0</v>
      </c>
      <c r="I70" s="112">
        <f>+I10+I50</f>
        <v>0</v>
      </c>
      <c r="K70" s="3">
        <f t="shared" si="1"/>
        <v>0</v>
      </c>
    </row>
    <row r="71" spans="1:11" s="119" customFormat="1" ht="12.75" thickBot="1">
      <c r="A71" s="884" t="s">
        <v>10</v>
      </c>
      <c r="B71" s="906" t="s">
        <v>304</v>
      </c>
      <c r="C71" s="1103">
        <f>+C72</f>
        <v>42721</v>
      </c>
      <c r="D71" s="28">
        <f>+D72</f>
        <v>40148</v>
      </c>
      <c r="E71" s="28">
        <f>+E72</f>
        <v>38407</v>
      </c>
      <c r="F71" s="1551">
        <f t="shared" si="0"/>
        <v>0.95663544883929463</v>
      </c>
      <c r="G71" s="110">
        <f>+G72</f>
        <v>38407</v>
      </c>
      <c r="H71" s="111">
        <f>+H72</f>
        <v>0</v>
      </c>
      <c r="I71" s="112">
        <f>+I72</f>
        <v>0</v>
      </c>
      <c r="K71" s="3">
        <f t="shared" si="1"/>
        <v>0</v>
      </c>
    </row>
    <row r="72" spans="1:11" s="119" customFormat="1" ht="12.75" thickBot="1">
      <c r="A72" s="884" t="s">
        <v>9</v>
      </c>
      <c r="B72" s="891" t="s">
        <v>920</v>
      </c>
      <c r="C72" s="1103">
        <f>+C73+C83+C84+C85</f>
        <v>42721</v>
      </c>
      <c r="D72" s="28">
        <f>+D73+D83+D84+D85</f>
        <v>40148</v>
      </c>
      <c r="E72" s="28">
        <f>+E73+E83+E84+E85</f>
        <v>38407</v>
      </c>
      <c r="F72" s="1551">
        <f t="shared" si="0"/>
        <v>0.95663544883929463</v>
      </c>
      <c r="G72" s="110">
        <f>+G73+G83+G84+G85</f>
        <v>38407</v>
      </c>
      <c r="H72" s="111">
        <f>+H73+H83+H84+H85</f>
        <v>0</v>
      </c>
      <c r="I72" s="112">
        <f>+I73+I83+I84+I85</f>
        <v>0</v>
      </c>
      <c r="K72" s="3">
        <f t="shared" si="1"/>
        <v>0</v>
      </c>
    </row>
    <row r="73" spans="1:11">
      <c r="A73" s="892" t="s">
        <v>73</v>
      </c>
      <c r="B73" s="113" t="s">
        <v>915</v>
      </c>
      <c r="C73" s="1104">
        <f>+C74+C75+C76+C77+C78+C79+C80+C81+C82</f>
        <v>42721</v>
      </c>
      <c r="D73" s="10">
        <f>+D74+D75+D76+D77+D78+D79+D80+D81+D82</f>
        <v>40148</v>
      </c>
      <c r="E73" s="10">
        <f>+E74+E75+E76+E77+E78+E79+E80+E81+E82</f>
        <v>38407</v>
      </c>
      <c r="F73" s="1552">
        <f t="shared" si="0"/>
        <v>0.95663544883929463</v>
      </c>
      <c r="G73" s="114">
        <f>+G74+G75+G76+G77+G78+G79+G80+G81+G82</f>
        <v>38407</v>
      </c>
      <c r="H73" s="115">
        <f>+H74+H75+H76+H77+H78+H79+H80+H81+H82</f>
        <v>0</v>
      </c>
      <c r="I73" s="116">
        <f>+I74+I75+I76+I77+I78+I79+I80+I81+I82</f>
        <v>0</v>
      </c>
      <c r="K73" s="4">
        <f t="shared" si="1"/>
        <v>0</v>
      </c>
    </row>
    <row r="74" spans="1:11" s="117" customFormat="1">
      <c r="A74" s="108" t="s">
        <v>196</v>
      </c>
      <c r="B74" s="109" t="s">
        <v>914</v>
      </c>
      <c r="C74" s="1105"/>
      <c r="D74" s="12"/>
      <c r="E74" s="12"/>
      <c r="F74" s="1553" t="str">
        <f t="shared" ref="F74:F102" si="2">IF(ISERROR(E74/D74),"-",E74/D74)</f>
        <v>-</v>
      </c>
      <c r="G74" s="656"/>
      <c r="H74" s="657"/>
      <c r="I74" s="658"/>
      <c r="K74" s="13">
        <f t="shared" ref="K74:K102" si="3">+E74-G74-H74-I74</f>
        <v>0</v>
      </c>
    </row>
    <row r="75" spans="1:11" s="117" customFormat="1">
      <c r="A75" s="108" t="s">
        <v>197</v>
      </c>
      <c r="B75" s="109" t="s">
        <v>247</v>
      </c>
      <c r="C75" s="1105"/>
      <c r="D75" s="12"/>
      <c r="E75" s="12"/>
      <c r="F75" s="1553" t="str">
        <f t="shared" si="2"/>
        <v>-</v>
      </c>
      <c r="G75" s="656"/>
      <c r="H75" s="657"/>
      <c r="I75" s="658"/>
      <c r="K75" s="13">
        <f t="shared" si="3"/>
        <v>0</v>
      </c>
    </row>
    <row r="76" spans="1:11" s="117" customFormat="1">
      <c r="A76" s="108" t="s">
        <v>198</v>
      </c>
      <c r="B76" s="109" t="s">
        <v>248</v>
      </c>
      <c r="C76" s="1105"/>
      <c r="D76" s="12">
        <v>654</v>
      </c>
      <c r="E76" s="12">
        <v>654</v>
      </c>
      <c r="F76" s="1553">
        <f t="shared" si="2"/>
        <v>1</v>
      </c>
      <c r="G76" s="656">
        <v>654</v>
      </c>
      <c r="H76" s="657"/>
      <c r="I76" s="658"/>
      <c r="K76" s="13">
        <f t="shared" si="3"/>
        <v>0</v>
      </c>
    </row>
    <row r="77" spans="1:11" s="117" customFormat="1">
      <c r="A77" s="108" t="s">
        <v>199</v>
      </c>
      <c r="B77" s="109" t="s">
        <v>249</v>
      </c>
      <c r="C77" s="1105"/>
      <c r="D77" s="12"/>
      <c r="E77" s="12"/>
      <c r="F77" s="1553" t="str">
        <f t="shared" si="2"/>
        <v>-</v>
      </c>
      <c r="G77" s="656"/>
      <c r="H77" s="657"/>
      <c r="I77" s="658"/>
      <c r="K77" s="13">
        <f t="shared" si="3"/>
        <v>0</v>
      </c>
    </row>
    <row r="78" spans="1:11" s="117" customFormat="1">
      <c r="A78" s="108" t="s">
        <v>200</v>
      </c>
      <c r="B78" s="109" t="s">
        <v>250</v>
      </c>
      <c r="C78" s="1105"/>
      <c r="D78" s="12"/>
      <c r="E78" s="12"/>
      <c r="F78" s="1553" t="str">
        <f t="shared" si="2"/>
        <v>-</v>
      </c>
      <c r="G78" s="656"/>
      <c r="H78" s="657"/>
      <c r="I78" s="658"/>
      <c r="K78" s="13">
        <f t="shared" si="3"/>
        <v>0</v>
      </c>
    </row>
    <row r="79" spans="1:11" s="117" customFormat="1">
      <c r="A79" s="108" t="s">
        <v>201</v>
      </c>
      <c r="B79" s="109" t="s">
        <v>251</v>
      </c>
      <c r="C79" s="1105">
        <f t="shared" ref="C79" si="4">+C109-C10+C178-C74-C75-C76-C77-C78-C80-C81-C83-C84-C85</f>
        <v>42721</v>
      </c>
      <c r="D79" s="12">
        <f>39494-D94</f>
        <v>39494</v>
      </c>
      <c r="E79" s="12">
        <f>37754-1-E94</f>
        <v>37753</v>
      </c>
      <c r="F79" s="1553">
        <f t="shared" si="2"/>
        <v>0.95591735453486604</v>
      </c>
      <c r="G79" s="656">
        <v>37753</v>
      </c>
      <c r="H79" s="657"/>
      <c r="I79" s="658"/>
      <c r="K79" s="117">
        <f t="shared" si="3"/>
        <v>0</v>
      </c>
    </row>
    <row r="80" spans="1:11" s="117" customFormat="1">
      <c r="A80" s="108" t="s">
        <v>204</v>
      </c>
      <c r="B80" s="109" t="s">
        <v>252</v>
      </c>
      <c r="C80" s="1105"/>
      <c r="D80" s="12"/>
      <c r="E80" s="12"/>
      <c r="F80" s="1553" t="str">
        <f t="shared" si="2"/>
        <v>-</v>
      </c>
      <c r="G80" s="656"/>
      <c r="H80" s="657"/>
      <c r="I80" s="658"/>
      <c r="K80" s="117">
        <f t="shared" si="3"/>
        <v>0</v>
      </c>
    </row>
    <row r="81" spans="1:11" s="117" customFormat="1">
      <c r="A81" s="108" t="s">
        <v>202</v>
      </c>
      <c r="B81" s="109" t="s">
        <v>245</v>
      </c>
      <c r="C81" s="1105"/>
      <c r="D81" s="12"/>
      <c r="E81" s="12"/>
      <c r="F81" s="1553" t="str">
        <f t="shared" si="2"/>
        <v>-</v>
      </c>
      <c r="G81" s="656"/>
      <c r="H81" s="657"/>
      <c r="I81" s="658"/>
      <c r="K81" s="117">
        <f t="shared" si="3"/>
        <v>0</v>
      </c>
    </row>
    <row r="82" spans="1:11" s="117" customFormat="1">
      <c r="A82" s="108" t="s">
        <v>916</v>
      </c>
      <c r="B82" s="109" t="s">
        <v>917</v>
      </c>
      <c r="C82" s="1105"/>
      <c r="D82" s="12"/>
      <c r="E82" s="12"/>
      <c r="F82" s="1553" t="str">
        <f t="shared" si="2"/>
        <v>-</v>
      </c>
      <c r="G82" s="656"/>
      <c r="H82" s="657"/>
      <c r="I82" s="658"/>
      <c r="K82" s="117">
        <f t="shared" si="3"/>
        <v>0</v>
      </c>
    </row>
    <row r="83" spans="1:11">
      <c r="A83" s="896" t="s">
        <v>74</v>
      </c>
      <c r="B83" s="897" t="s">
        <v>243</v>
      </c>
      <c r="C83" s="1106"/>
      <c r="D83" s="11"/>
      <c r="E83" s="11"/>
      <c r="F83" s="1553" t="str">
        <f t="shared" si="2"/>
        <v>-</v>
      </c>
      <c r="G83" s="866"/>
      <c r="H83" s="867"/>
      <c r="I83" s="868"/>
      <c r="K83" s="118">
        <f t="shared" si="3"/>
        <v>0</v>
      </c>
    </row>
    <row r="84" spans="1:11">
      <c r="A84" s="898" t="s">
        <v>203</v>
      </c>
      <c r="B84" s="899" t="s">
        <v>244</v>
      </c>
      <c r="C84" s="1107"/>
      <c r="D84" s="22"/>
      <c r="E84" s="22"/>
      <c r="F84" s="1555" t="str">
        <f t="shared" si="2"/>
        <v>-</v>
      </c>
      <c r="G84" s="869"/>
      <c r="H84" s="870"/>
      <c r="I84" s="871"/>
      <c r="K84" s="118">
        <f t="shared" si="3"/>
        <v>0</v>
      </c>
    </row>
    <row r="85" spans="1:11" ht="12.75" thickBot="1">
      <c r="A85" s="898" t="s">
        <v>918</v>
      </c>
      <c r="B85" s="899" t="s">
        <v>919</v>
      </c>
      <c r="C85" s="1107"/>
      <c r="D85" s="22"/>
      <c r="E85" s="22"/>
      <c r="F85" s="1555" t="str">
        <f t="shared" si="2"/>
        <v>-</v>
      </c>
      <c r="G85" s="869"/>
      <c r="H85" s="870"/>
      <c r="I85" s="871"/>
      <c r="K85" s="118">
        <f t="shared" si="3"/>
        <v>0</v>
      </c>
    </row>
    <row r="86" spans="1:11" s="119" customFormat="1" ht="12.75" thickBot="1">
      <c r="A86" s="884" t="s">
        <v>45</v>
      </c>
      <c r="B86" s="906" t="s">
        <v>305</v>
      </c>
      <c r="C86" s="1103">
        <f>+C87</f>
        <v>11051</v>
      </c>
      <c r="D86" s="28">
        <f>+D87</f>
        <v>0</v>
      </c>
      <c r="E86" s="28">
        <f>+E87</f>
        <v>0</v>
      </c>
      <c r="F86" s="1551" t="str">
        <f t="shared" si="2"/>
        <v>-</v>
      </c>
      <c r="G86" s="110">
        <f>+G87</f>
        <v>0</v>
      </c>
      <c r="H86" s="111">
        <f>+H87</f>
        <v>0</v>
      </c>
      <c r="I86" s="112">
        <f>+I87</f>
        <v>0</v>
      </c>
      <c r="K86" s="119">
        <f t="shared" si="3"/>
        <v>0</v>
      </c>
    </row>
    <row r="87" spans="1:11" s="119" customFormat="1" ht="12.75" thickBot="1">
      <c r="A87" s="884" t="s">
        <v>44</v>
      </c>
      <c r="B87" s="891" t="s">
        <v>922</v>
      </c>
      <c r="C87" s="1103">
        <f>+C88+C98+C99+C100</f>
        <v>11051</v>
      </c>
      <c r="D87" s="28">
        <f>+D88+D98+D99+D100</f>
        <v>0</v>
      </c>
      <c r="E87" s="28">
        <f>+E88+E98+E99+E100</f>
        <v>0</v>
      </c>
      <c r="F87" s="1551" t="str">
        <f t="shared" si="2"/>
        <v>-</v>
      </c>
      <c r="G87" s="110">
        <f>+G88+G98+G99+G100</f>
        <v>0</v>
      </c>
      <c r="H87" s="111">
        <f>+H88+H98+H99+H100</f>
        <v>0</v>
      </c>
      <c r="I87" s="112">
        <f>+I88+I98+I99+I100</f>
        <v>0</v>
      </c>
      <c r="K87" s="119">
        <f t="shared" si="3"/>
        <v>0</v>
      </c>
    </row>
    <row r="88" spans="1:11">
      <c r="A88" s="892" t="s">
        <v>232</v>
      </c>
      <c r="B88" s="113" t="s">
        <v>977</v>
      </c>
      <c r="C88" s="1104">
        <f>+C89+C90+C91+C92+C93+C94+C95+C96+C97</f>
        <v>11051</v>
      </c>
      <c r="D88" s="10">
        <f>+D89+D90+D91+D92+D93+D94+D95+D96+D97</f>
        <v>0</v>
      </c>
      <c r="E88" s="10">
        <f>+E89+E90+E91+E92+E93+E94+E95+E96+E97</f>
        <v>0</v>
      </c>
      <c r="F88" s="1552" t="str">
        <f t="shared" si="2"/>
        <v>-</v>
      </c>
      <c r="G88" s="114">
        <f>+G89+G90+G91+G92+G93+G94+G95+G96+G97</f>
        <v>0</v>
      </c>
      <c r="H88" s="115">
        <f>+H89+H90+H91+H92+H93+H94+H95+H96+H97</f>
        <v>0</v>
      </c>
      <c r="I88" s="116">
        <f>+I89+I90+I91+I92+I93+I94+I95+I96+I97</f>
        <v>0</v>
      </c>
      <c r="K88" s="118">
        <f t="shared" si="3"/>
        <v>0</v>
      </c>
    </row>
    <row r="89" spans="1:11" s="117" customFormat="1">
      <c r="A89" s="108" t="s">
        <v>233</v>
      </c>
      <c r="B89" s="109" t="s">
        <v>914</v>
      </c>
      <c r="C89" s="1105"/>
      <c r="D89" s="12"/>
      <c r="E89" s="12"/>
      <c r="F89" s="1553" t="str">
        <f t="shared" si="2"/>
        <v>-</v>
      </c>
      <c r="G89" s="656"/>
      <c r="H89" s="657"/>
      <c r="I89" s="658"/>
      <c r="K89" s="117">
        <f t="shared" si="3"/>
        <v>0</v>
      </c>
    </row>
    <row r="90" spans="1:11" s="117" customFormat="1">
      <c r="A90" s="108" t="s">
        <v>234</v>
      </c>
      <c r="B90" s="109" t="s">
        <v>247</v>
      </c>
      <c r="C90" s="1105"/>
      <c r="D90" s="12"/>
      <c r="E90" s="12"/>
      <c r="F90" s="1553" t="str">
        <f t="shared" si="2"/>
        <v>-</v>
      </c>
      <c r="G90" s="656"/>
      <c r="H90" s="657"/>
      <c r="I90" s="658"/>
      <c r="K90" s="117">
        <f t="shared" si="3"/>
        <v>0</v>
      </c>
    </row>
    <row r="91" spans="1:11" s="117" customFormat="1">
      <c r="A91" s="108" t="s">
        <v>235</v>
      </c>
      <c r="B91" s="109" t="s">
        <v>248</v>
      </c>
      <c r="C91" s="1105"/>
      <c r="D91" s="12"/>
      <c r="E91" s="12"/>
      <c r="F91" s="1553" t="str">
        <f t="shared" si="2"/>
        <v>-</v>
      </c>
      <c r="G91" s="656"/>
      <c r="H91" s="657"/>
      <c r="I91" s="658"/>
      <c r="K91" s="117">
        <f t="shared" si="3"/>
        <v>0</v>
      </c>
    </row>
    <row r="92" spans="1:11" s="117" customFormat="1">
      <c r="A92" s="108" t="s">
        <v>236</v>
      </c>
      <c r="B92" s="109" t="s">
        <v>249</v>
      </c>
      <c r="C92" s="1105"/>
      <c r="D92" s="12"/>
      <c r="E92" s="12"/>
      <c r="F92" s="1553" t="str">
        <f t="shared" si="2"/>
        <v>-</v>
      </c>
      <c r="G92" s="656"/>
      <c r="H92" s="657"/>
      <c r="I92" s="658"/>
      <c r="K92" s="117">
        <f t="shared" si="3"/>
        <v>0</v>
      </c>
    </row>
    <row r="93" spans="1:11" s="117" customFormat="1">
      <c r="A93" s="108" t="s">
        <v>237</v>
      </c>
      <c r="B93" s="109" t="s">
        <v>250</v>
      </c>
      <c r="C93" s="1105"/>
      <c r="D93" s="12"/>
      <c r="E93" s="12"/>
      <c r="F93" s="1553" t="str">
        <f t="shared" si="2"/>
        <v>-</v>
      </c>
      <c r="G93" s="656"/>
      <c r="H93" s="657"/>
      <c r="I93" s="658"/>
      <c r="K93" s="117">
        <f t="shared" si="3"/>
        <v>0</v>
      </c>
    </row>
    <row r="94" spans="1:11" s="117" customFormat="1">
      <c r="A94" s="108" t="s">
        <v>238</v>
      </c>
      <c r="B94" s="109" t="s">
        <v>251</v>
      </c>
      <c r="C94" s="1105">
        <f t="shared" ref="C94:E94" si="5">+C149-C50+C192-C89-C90-C91-C92-C93-C95-C96-C98-C99-C100</f>
        <v>11051</v>
      </c>
      <c r="D94" s="12">
        <f t="shared" si="5"/>
        <v>0</v>
      </c>
      <c r="E94" s="12">
        <f t="shared" si="5"/>
        <v>0</v>
      </c>
      <c r="F94" s="1554" t="str">
        <f t="shared" si="2"/>
        <v>-</v>
      </c>
      <c r="G94" s="656">
        <f>+G149-G50+G192-G89-G90-G91-G92-G93-G95-G96-G98-G99-G100</f>
        <v>0</v>
      </c>
      <c r="H94" s="657">
        <f>+H149-H50+H192-H89-H90-H91-H92-H93-H95-H96-H98-H99-H100</f>
        <v>0</v>
      </c>
      <c r="I94" s="658">
        <f>+I149-I50+I192-I89-I90-I91-I92-I93-I95-I96-I98-I99-I100</f>
        <v>0</v>
      </c>
      <c r="K94" s="117">
        <f t="shared" si="3"/>
        <v>0</v>
      </c>
    </row>
    <row r="95" spans="1:11" s="117" customFormat="1">
      <c r="A95" s="108" t="s">
        <v>239</v>
      </c>
      <c r="B95" s="109" t="s">
        <v>252</v>
      </c>
      <c r="C95" s="1105"/>
      <c r="D95" s="12"/>
      <c r="E95" s="12"/>
      <c r="F95" s="1553" t="str">
        <f t="shared" si="2"/>
        <v>-</v>
      </c>
      <c r="G95" s="656"/>
      <c r="H95" s="657"/>
      <c r="I95" s="658"/>
      <c r="K95" s="13">
        <f t="shared" si="3"/>
        <v>0</v>
      </c>
    </row>
    <row r="96" spans="1:11" s="117" customFormat="1">
      <c r="A96" s="108" t="s">
        <v>240</v>
      </c>
      <c r="B96" s="109" t="s">
        <v>245</v>
      </c>
      <c r="C96" s="1105"/>
      <c r="D96" s="12"/>
      <c r="E96" s="12"/>
      <c r="F96" s="1553" t="str">
        <f t="shared" si="2"/>
        <v>-</v>
      </c>
      <c r="G96" s="656"/>
      <c r="H96" s="657"/>
      <c r="I96" s="658"/>
      <c r="K96" s="13">
        <f t="shared" si="3"/>
        <v>0</v>
      </c>
    </row>
    <row r="97" spans="1:11" s="117" customFormat="1">
      <c r="A97" s="108" t="s">
        <v>921</v>
      </c>
      <c r="B97" s="109" t="s">
        <v>917</v>
      </c>
      <c r="C97" s="1105"/>
      <c r="D97" s="12"/>
      <c r="E97" s="12"/>
      <c r="F97" s="1553" t="str">
        <f t="shared" si="2"/>
        <v>-</v>
      </c>
      <c r="G97" s="656"/>
      <c r="H97" s="657"/>
      <c r="I97" s="658"/>
      <c r="K97" s="13">
        <f t="shared" si="3"/>
        <v>0</v>
      </c>
    </row>
    <row r="98" spans="1:11">
      <c r="A98" s="896" t="s">
        <v>241</v>
      </c>
      <c r="B98" s="897" t="s">
        <v>243</v>
      </c>
      <c r="C98" s="1106"/>
      <c r="D98" s="11"/>
      <c r="E98" s="11"/>
      <c r="F98" s="1553" t="str">
        <f t="shared" si="2"/>
        <v>-</v>
      </c>
      <c r="G98" s="866"/>
      <c r="H98" s="867"/>
      <c r="I98" s="868"/>
      <c r="K98" s="4">
        <f t="shared" si="3"/>
        <v>0</v>
      </c>
    </row>
    <row r="99" spans="1:11">
      <c r="A99" s="898" t="s">
        <v>242</v>
      </c>
      <c r="B99" s="899" t="s">
        <v>244</v>
      </c>
      <c r="C99" s="1107"/>
      <c r="D99" s="22"/>
      <c r="E99" s="22"/>
      <c r="F99" s="1555" t="str">
        <f t="shared" si="2"/>
        <v>-</v>
      </c>
      <c r="G99" s="869"/>
      <c r="H99" s="870"/>
      <c r="I99" s="871"/>
      <c r="K99" s="4">
        <f t="shared" si="3"/>
        <v>0</v>
      </c>
    </row>
    <row r="100" spans="1:11" ht="12.75" thickBot="1">
      <c r="A100" s="898" t="s">
        <v>923</v>
      </c>
      <c r="B100" s="899" t="s">
        <v>919</v>
      </c>
      <c r="C100" s="1107"/>
      <c r="D100" s="22"/>
      <c r="E100" s="22"/>
      <c r="F100" s="1555" t="str">
        <f t="shared" si="2"/>
        <v>-</v>
      </c>
      <c r="G100" s="869"/>
      <c r="H100" s="870"/>
      <c r="I100" s="871"/>
      <c r="K100" s="4">
        <f t="shared" si="3"/>
        <v>0</v>
      </c>
    </row>
    <row r="101" spans="1:11" s="119" customFormat="1" ht="12.75" thickBot="1">
      <c r="A101" s="884" t="s">
        <v>43</v>
      </c>
      <c r="B101" s="905" t="s">
        <v>306</v>
      </c>
      <c r="C101" s="1103">
        <f>+C71+C86</f>
        <v>53772</v>
      </c>
      <c r="D101" s="28">
        <f>+D71+D86</f>
        <v>40148</v>
      </c>
      <c r="E101" s="28">
        <f>+E71+E86</f>
        <v>38407</v>
      </c>
      <c r="F101" s="1551">
        <f t="shared" si="2"/>
        <v>0.95663544883929463</v>
      </c>
      <c r="G101" s="110">
        <f>+G71+G86</f>
        <v>38407</v>
      </c>
      <c r="H101" s="111">
        <f>+H71+H86</f>
        <v>0</v>
      </c>
      <c r="I101" s="112">
        <f>+I71+I86</f>
        <v>0</v>
      </c>
      <c r="K101" s="3">
        <f t="shared" si="3"/>
        <v>0</v>
      </c>
    </row>
    <row r="102" spans="1:11" s="119" customFormat="1" ht="12.75" thickBot="1">
      <c r="A102" s="907" t="s">
        <v>40</v>
      </c>
      <c r="B102" s="908" t="s">
        <v>307</v>
      </c>
      <c r="C102" s="1109">
        <f>+C70+C101</f>
        <v>54272</v>
      </c>
      <c r="D102" s="25">
        <f>+D70+D101</f>
        <v>41628</v>
      </c>
      <c r="E102" s="25">
        <f>+E70+E101</f>
        <v>39887</v>
      </c>
      <c r="F102" s="1556">
        <f t="shared" si="2"/>
        <v>0.95817718843086386</v>
      </c>
      <c r="G102" s="909">
        <f>+G70+G101</f>
        <v>39887</v>
      </c>
      <c r="H102" s="910">
        <f>+H70+H101</f>
        <v>0</v>
      </c>
      <c r="I102" s="911">
        <f>+I70+I101</f>
        <v>0</v>
      </c>
      <c r="K102" s="3">
        <f t="shared" si="3"/>
        <v>0</v>
      </c>
    </row>
    <row r="103" spans="1:11" s="119" customFormat="1">
      <c r="A103" s="912"/>
      <c r="B103" s="913"/>
      <c r="C103" s="30"/>
      <c r="D103" s="30"/>
      <c r="E103" s="30"/>
      <c r="F103" s="1548"/>
      <c r="G103" s="913"/>
      <c r="H103" s="913"/>
      <c r="I103" s="913"/>
      <c r="K103" s="3"/>
    </row>
    <row r="104" spans="1:11" s="119" customFormat="1">
      <c r="A104" s="912"/>
      <c r="B104" s="913"/>
      <c r="C104" s="30"/>
      <c r="D104" s="30"/>
      <c r="E104" s="30"/>
      <c r="F104" s="1557"/>
      <c r="G104" s="913"/>
      <c r="H104" s="913"/>
      <c r="I104" s="913"/>
      <c r="K104" s="3"/>
    </row>
    <row r="105" spans="1:11" s="874" customFormat="1" ht="15.75">
      <c r="A105" s="1794" t="s">
        <v>80</v>
      </c>
      <c r="B105" s="1794"/>
      <c r="C105" s="1794"/>
      <c r="D105" s="1794"/>
      <c r="E105" s="1794"/>
      <c r="F105" s="1794"/>
      <c r="G105" s="1794"/>
      <c r="H105" s="1794"/>
      <c r="I105" s="1794"/>
      <c r="K105" s="52"/>
    </row>
    <row r="106" spans="1:11" s="876" customFormat="1" ht="12.75" thickBot="1">
      <c r="A106" s="875" t="s">
        <v>279</v>
      </c>
      <c r="C106" s="36"/>
      <c r="D106" s="36"/>
      <c r="E106" s="36"/>
      <c r="F106" s="1548"/>
      <c r="I106" s="877" t="s">
        <v>281</v>
      </c>
      <c r="K106" s="36"/>
    </row>
    <row r="107" spans="1:11" s="119" customFormat="1" ht="48.75" thickBot="1">
      <c r="A107" s="878" t="s">
        <v>17</v>
      </c>
      <c r="B107" s="914" t="s">
        <v>329</v>
      </c>
      <c r="C107" s="1572" t="s">
        <v>1553</v>
      </c>
      <c r="D107" s="1571" t="s">
        <v>1554</v>
      </c>
      <c r="E107" s="6" t="s">
        <v>2646</v>
      </c>
      <c r="F107" s="1549" t="s">
        <v>2645</v>
      </c>
      <c r="G107" s="5" t="s">
        <v>51</v>
      </c>
      <c r="H107" s="6" t="s">
        <v>52</v>
      </c>
      <c r="I107" s="7" t="s">
        <v>53</v>
      </c>
      <c r="K107" s="3"/>
    </row>
    <row r="108" spans="1:11" s="119" customFormat="1" ht="13.5" customHeight="1" thickBot="1">
      <c r="A108" s="915" t="s">
        <v>253</v>
      </c>
      <c r="B108" s="916" t="s">
        <v>254</v>
      </c>
      <c r="C108" s="1795" t="s">
        <v>255</v>
      </c>
      <c r="D108" s="1796"/>
      <c r="E108" s="1796"/>
      <c r="F108" s="1796"/>
      <c r="G108" s="1796"/>
      <c r="H108" s="1796"/>
      <c r="I108" s="1797"/>
      <c r="K108" s="3"/>
    </row>
    <row r="109" spans="1:11" s="119" customFormat="1" ht="12.75" thickBot="1">
      <c r="A109" s="884" t="s">
        <v>4</v>
      </c>
      <c r="B109" s="905" t="s">
        <v>308</v>
      </c>
      <c r="C109" s="1103">
        <f>+C110+C114+C116+C123+C132</f>
        <v>43221</v>
      </c>
      <c r="D109" s="28">
        <f>+D110+D114+D116+D123+D132</f>
        <v>41628</v>
      </c>
      <c r="E109" s="28">
        <f>+E110+E114+E116+E123+E132</f>
        <v>39559</v>
      </c>
      <c r="F109" s="1558">
        <f t="shared" ref="F109:F172" si="6">IF(ISERROR(E109/D109),"-",E109/D109)</f>
        <v>0.95029787642932639</v>
      </c>
      <c r="G109" s="110">
        <f>+G110+G114+G116+G123+G132</f>
        <v>39559</v>
      </c>
      <c r="H109" s="111">
        <f>+H110+H114+H116+H123+H132</f>
        <v>0</v>
      </c>
      <c r="I109" s="112">
        <f>+I110+I114+I116+I123+I132</f>
        <v>0</v>
      </c>
      <c r="K109" s="3">
        <f t="shared" ref="K109:K172" si="7">+E109-G109-H109-I109</f>
        <v>0</v>
      </c>
    </row>
    <row r="110" spans="1:11" s="119" customFormat="1" ht="12.75" thickBot="1">
      <c r="A110" s="884" t="s">
        <v>5</v>
      </c>
      <c r="B110" s="891" t="s">
        <v>309</v>
      </c>
      <c r="C110" s="1103">
        <f>+C112+C113</f>
        <v>24615</v>
      </c>
      <c r="D110" s="28">
        <f>+D112+D113</f>
        <v>25602</v>
      </c>
      <c r="E110" s="28">
        <f>+E112+E113</f>
        <v>25247</v>
      </c>
      <c r="F110" s="1558">
        <f t="shared" si="6"/>
        <v>0.98613389578939148</v>
      </c>
      <c r="G110" s="110">
        <f>+G112+G113</f>
        <v>25247</v>
      </c>
      <c r="H110" s="111">
        <f>+H112+H113</f>
        <v>0</v>
      </c>
      <c r="I110" s="112">
        <f>+I112+I113</f>
        <v>0</v>
      </c>
      <c r="K110" s="3">
        <f t="shared" si="7"/>
        <v>0</v>
      </c>
    </row>
    <row r="111" spans="1:11" s="876" customFormat="1">
      <c r="A111" s="917" t="s">
        <v>349</v>
      </c>
      <c r="B111" s="918" t="s">
        <v>350</v>
      </c>
      <c r="C111" s="1110"/>
      <c r="D111" s="97"/>
      <c r="E111" s="97"/>
      <c r="F111" s="1559" t="str">
        <f t="shared" si="6"/>
        <v>-</v>
      </c>
      <c r="G111" s="919"/>
      <c r="H111" s="920"/>
      <c r="I111" s="921"/>
      <c r="K111" s="36">
        <f t="shared" si="7"/>
        <v>0</v>
      </c>
    </row>
    <row r="112" spans="1:11">
      <c r="A112" s="892" t="s">
        <v>54</v>
      </c>
      <c r="B112" s="113" t="s">
        <v>127</v>
      </c>
      <c r="C112" s="1104">
        <v>24615</v>
      </c>
      <c r="D112" s="10">
        <v>25383</v>
      </c>
      <c r="E112" s="10">
        <f>25027+1</f>
        <v>25028</v>
      </c>
      <c r="F112" s="1560">
        <f t="shared" si="6"/>
        <v>0.98601426151361149</v>
      </c>
      <c r="G112" s="114">
        <v>25028</v>
      </c>
      <c r="H112" s="115"/>
      <c r="I112" s="116"/>
      <c r="K112" s="4">
        <f t="shared" si="7"/>
        <v>0</v>
      </c>
    </row>
    <row r="113" spans="1:11" ht="12.75" thickBot="1">
      <c r="A113" s="898" t="s">
        <v>55</v>
      </c>
      <c r="B113" s="899" t="s">
        <v>128</v>
      </c>
      <c r="C113" s="1107"/>
      <c r="D113" s="22">
        <v>219</v>
      </c>
      <c r="E113" s="22">
        <v>219</v>
      </c>
      <c r="F113" s="1561">
        <f t="shared" si="6"/>
        <v>1</v>
      </c>
      <c r="G113" s="869">
        <v>219</v>
      </c>
      <c r="H113" s="870"/>
      <c r="I113" s="871"/>
      <c r="K113" s="4">
        <f t="shared" si="7"/>
        <v>0</v>
      </c>
    </row>
    <row r="114" spans="1:11" s="119" customFormat="1" ht="12.75" thickBot="1">
      <c r="A114" s="884" t="s">
        <v>6</v>
      </c>
      <c r="B114" s="891" t="s">
        <v>256</v>
      </c>
      <c r="C114" s="1103">
        <v>4809</v>
      </c>
      <c r="D114" s="28">
        <v>4809</v>
      </c>
      <c r="E114" s="28">
        <v>4687</v>
      </c>
      <c r="F114" s="1558">
        <f t="shared" si="6"/>
        <v>0.97463090039509248</v>
      </c>
      <c r="G114" s="110">
        <v>4687</v>
      </c>
      <c r="H114" s="111"/>
      <c r="I114" s="112"/>
      <c r="K114" s="3">
        <f t="shared" si="7"/>
        <v>0</v>
      </c>
    </row>
    <row r="115" spans="1:11" s="876" customFormat="1" ht="12.75" thickBot="1">
      <c r="A115" s="917" t="s">
        <v>346</v>
      </c>
      <c r="B115" s="918" t="s">
        <v>347</v>
      </c>
      <c r="C115" s="1110"/>
      <c r="D115" s="97"/>
      <c r="E115" s="97"/>
      <c r="F115" s="1559" t="str">
        <f t="shared" si="6"/>
        <v>-</v>
      </c>
      <c r="G115" s="919"/>
      <c r="H115" s="920"/>
      <c r="I115" s="921"/>
      <c r="K115" s="36">
        <f t="shared" si="7"/>
        <v>0</v>
      </c>
    </row>
    <row r="116" spans="1:11" s="119" customFormat="1" ht="12.75" thickBot="1">
      <c r="A116" s="884" t="s">
        <v>3</v>
      </c>
      <c r="B116" s="891" t="s">
        <v>343</v>
      </c>
      <c r="C116" s="1103">
        <f>+C118+C119+C120+C121+C122</f>
        <v>13797</v>
      </c>
      <c r="D116" s="28">
        <f>+D118+D119+D120+D121+D122</f>
        <v>10563</v>
      </c>
      <c r="E116" s="28">
        <f>+E118+E119+E120+E121+E122</f>
        <v>8971</v>
      </c>
      <c r="F116" s="1558">
        <f t="shared" si="6"/>
        <v>0.8492852409353403</v>
      </c>
      <c r="G116" s="110">
        <f>+G118+G119+G120+G121+G122</f>
        <v>8971</v>
      </c>
      <c r="H116" s="111">
        <f>+H118+H119+H120+H121+H122</f>
        <v>0</v>
      </c>
      <c r="I116" s="112">
        <f>+I118+I119+I120+I121+I122</f>
        <v>0</v>
      </c>
      <c r="K116" s="3">
        <f t="shared" si="7"/>
        <v>0</v>
      </c>
    </row>
    <row r="117" spans="1:11" s="876" customFormat="1">
      <c r="A117" s="917" t="s">
        <v>341</v>
      </c>
      <c r="B117" s="918" t="s">
        <v>348</v>
      </c>
      <c r="C117" s="1110"/>
      <c r="D117" s="97"/>
      <c r="E117" s="97"/>
      <c r="F117" s="1559" t="str">
        <f t="shared" si="6"/>
        <v>-</v>
      </c>
      <c r="G117" s="919"/>
      <c r="H117" s="920"/>
      <c r="I117" s="921"/>
      <c r="K117" s="36">
        <f t="shared" si="7"/>
        <v>0</v>
      </c>
    </row>
    <row r="118" spans="1:11">
      <c r="A118" s="892" t="s">
        <v>61</v>
      </c>
      <c r="B118" s="113" t="s">
        <v>129</v>
      </c>
      <c r="C118" s="1117">
        <v>3300</v>
      </c>
      <c r="D118" s="114">
        <f>3295</f>
        <v>3295</v>
      </c>
      <c r="E118" s="10">
        <v>3050</v>
      </c>
      <c r="F118" s="1560">
        <f t="shared" si="6"/>
        <v>0.92564491654021241</v>
      </c>
      <c r="G118" s="114">
        <v>3050</v>
      </c>
      <c r="H118" s="115"/>
      <c r="I118" s="116"/>
      <c r="K118" s="4">
        <f t="shared" si="7"/>
        <v>0</v>
      </c>
    </row>
    <row r="119" spans="1:11">
      <c r="A119" s="896" t="s">
        <v>62</v>
      </c>
      <c r="B119" s="897" t="s">
        <v>130</v>
      </c>
      <c r="C119" s="926">
        <v>2100</v>
      </c>
      <c r="D119" s="866">
        <v>776</v>
      </c>
      <c r="E119" s="11">
        <v>776</v>
      </c>
      <c r="F119" s="1562">
        <f t="shared" si="6"/>
        <v>1</v>
      </c>
      <c r="G119" s="866">
        <v>776</v>
      </c>
      <c r="H119" s="867"/>
      <c r="I119" s="868"/>
      <c r="K119" s="4">
        <f t="shared" si="7"/>
        <v>0</v>
      </c>
    </row>
    <row r="120" spans="1:11">
      <c r="A120" s="896" t="s">
        <v>63</v>
      </c>
      <c r="B120" s="897" t="s">
        <v>131</v>
      </c>
      <c r="C120" s="926">
        <v>5395</v>
      </c>
      <c r="D120" s="866">
        <v>4647</v>
      </c>
      <c r="E120" s="11">
        <f>3608</f>
        <v>3608</v>
      </c>
      <c r="F120" s="1562">
        <f t="shared" si="6"/>
        <v>0.77641489132773833</v>
      </c>
      <c r="G120" s="866">
        <v>3608</v>
      </c>
      <c r="H120" s="867"/>
      <c r="I120" s="868"/>
      <c r="K120" s="4">
        <f t="shared" si="7"/>
        <v>0</v>
      </c>
    </row>
    <row r="121" spans="1:11">
      <c r="A121" s="896" t="s">
        <v>64</v>
      </c>
      <c r="B121" s="897" t="s">
        <v>132</v>
      </c>
      <c r="C121" s="926">
        <v>240</v>
      </c>
      <c r="D121" s="866">
        <v>50</v>
      </c>
      <c r="E121" s="11">
        <v>8</v>
      </c>
      <c r="F121" s="1562">
        <f t="shared" si="6"/>
        <v>0.16</v>
      </c>
      <c r="G121" s="866">
        <v>8</v>
      </c>
      <c r="H121" s="867"/>
      <c r="I121" s="868"/>
      <c r="K121" s="4">
        <f t="shared" si="7"/>
        <v>0</v>
      </c>
    </row>
    <row r="122" spans="1:11" ht="12.75" thickBot="1">
      <c r="A122" s="898" t="s">
        <v>65</v>
      </c>
      <c r="B122" s="899" t="s">
        <v>133</v>
      </c>
      <c r="C122" s="928">
        <v>2762</v>
      </c>
      <c r="D122" s="934">
        <v>1795</v>
      </c>
      <c r="E122" s="17">
        <v>1529</v>
      </c>
      <c r="F122" s="1561">
        <f t="shared" si="6"/>
        <v>0.85181058495821727</v>
      </c>
      <c r="G122" s="869">
        <v>1529</v>
      </c>
      <c r="H122" s="870"/>
      <c r="I122" s="871"/>
      <c r="K122" s="4">
        <f t="shared" si="7"/>
        <v>0</v>
      </c>
    </row>
    <row r="123" spans="1:11" s="119" customFormat="1" ht="12.75" thickBot="1">
      <c r="A123" s="884" t="s">
        <v>16</v>
      </c>
      <c r="B123" s="891" t="s">
        <v>310</v>
      </c>
      <c r="C123" s="1103">
        <f>+C124+C125+C126+C127+C128+C129+C130+C131</f>
        <v>0</v>
      </c>
      <c r="D123" s="28">
        <f>+D124+D125+D126+D127+D128+D129+D130+D131</f>
        <v>0</v>
      </c>
      <c r="E123" s="28">
        <f>+E124+E125+E126+E127+E128+E129+E130+E131</f>
        <v>0</v>
      </c>
      <c r="F123" s="1558" t="str">
        <f t="shared" si="6"/>
        <v>-</v>
      </c>
      <c r="G123" s="110">
        <f>+G124+G125+G126+G127+G128+G129+G130+G131</f>
        <v>0</v>
      </c>
      <c r="H123" s="111">
        <f>+H124+H125+H126+H127+H128+H129+H130+H131</f>
        <v>0</v>
      </c>
      <c r="I123" s="112">
        <f>+I124+I125+I126+I127+I128+I129+I130+I131</f>
        <v>0</v>
      </c>
      <c r="K123" s="3">
        <f t="shared" si="7"/>
        <v>0</v>
      </c>
    </row>
    <row r="124" spans="1:11">
      <c r="A124" s="892" t="s">
        <v>227</v>
      </c>
      <c r="B124" s="113" t="s">
        <v>134</v>
      </c>
      <c r="C124" s="1104"/>
      <c r="D124" s="10"/>
      <c r="E124" s="10"/>
      <c r="F124" s="1560" t="str">
        <f t="shared" si="6"/>
        <v>-</v>
      </c>
      <c r="G124" s="114"/>
      <c r="H124" s="115"/>
      <c r="I124" s="116"/>
      <c r="K124" s="4">
        <f t="shared" si="7"/>
        <v>0</v>
      </c>
    </row>
    <row r="125" spans="1:11">
      <c r="A125" s="896" t="s">
        <v>228</v>
      </c>
      <c r="B125" s="897" t="s">
        <v>135</v>
      </c>
      <c r="C125" s="1106"/>
      <c r="D125" s="11"/>
      <c r="E125" s="11"/>
      <c r="F125" s="1562" t="str">
        <f t="shared" si="6"/>
        <v>-</v>
      </c>
      <c r="G125" s="866"/>
      <c r="H125" s="867"/>
      <c r="I125" s="868"/>
      <c r="K125" s="4">
        <f t="shared" si="7"/>
        <v>0</v>
      </c>
    </row>
    <row r="126" spans="1:11">
      <c r="A126" s="896" t="s">
        <v>229</v>
      </c>
      <c r="B126" s="897" t="s">
        <v>136</v>
      </c>
      <c r="C126" s="1106"/>
      <c r="D126" s="11"/>
      <c r="E126" s="11"/>
      <c r="F126" s="1562" t="str">
        <f t="shared" si="6"/>
        <v>-</v>
      </c>
      <c r="G126" s="866"/>
      <c r="H126" s="867"/>
      <c r="I126" s="868"/>
      <c r="K126" s="4">
        <f t="shared" si="7"/>
        <v>0</v>
      </c>
    </row>
    <row r="127" spans="1:11">
      <c r="A127" s="896" t="s">
        <v>257</v>
      </c>
      <c r="B127" s="897" t="s">
        <v>137</v>
      </c>
      <c r="C127" s="1106"/>
      <c r="D127" s="11"/>
      <c r="E127" s="11"/>
      <c r="F127" s="1562" t="str">
        <f t="shared" si="6"/>
        <v>-</v>
      </c>
      <c r="G127" s="866"/>
      <c r="H127" s="867"/>
      <c r="I127" s="868"/>
      <c r="K127" s="4">
        <f t="shared" si="7"/>
        <v>0</v>
      </c>
    </row>
    <row r="128" spans="1:11">
      <c r="A128" s="896" t="s">
        <v>258</v>
      </c>
      <c r="B128" s="897" t="s">
        <v>138</v>
      </c>
      <c r="C128" s="1106"/>
      <c r="D128" s="11"/>
      <c r="E128" s="11"/>
      <c r="F128" s="1562" t="str">
        <f t="shared" si="6"/>
        <v>-</v>
      </c>
      <c r="G128" s="866"/>
      <c r="H128" s="867"/>
      <c r="I128" s="868"/>
      <c r="K128" s="4">
        <f t="shared" si="7"/>
        <v>0</v>
      </c>
    </row>
    <row r="129" spans="1:11">
      <c r="A129" s="896" t="s">
        <v>259</v>
      </c>
      <c r="B129" s="897" t="s">
        <v>139</v>
      </c>
      <c r="C129" s="1106"/>
      <c r="D129" s="11"/>
      <c r="E129" s="11"/>
      <c r="F129" s="1562" t="str">
        <f t="shared" si="6"/>
        <v>-</v>
      </c>
      <c r="G129" s="866"/>
      <c r="H129" s="867"/>
      <c r="I129" s="868"/>
      <c r="K129" s="4">
        <f t="shared" si="7"/>
        <v>0</v>
      </c>
    </row>
    <row r="130" spans="1:11">
      <c r="A130" s="896" t="s">
        <v>260</v>
      </c>
      <c r="B130" s="897" t="s">
        <v>140</v>
      </c>
      <c r="C130" s="1106"/>
      <c r="D130" s="11"/>
      <c r="E130" s="11"/>
      <c r="F130" s="1562" t="str">
        <f t="shared" si="6"/>
        <v>-</v>
      </c>
      <c r="G130" s="866"/>
      <c r="H130" s="867"/>
      <c r="I130" s="868"/>
      <c r="K130" s="4">
        <f t="shared" si="7"/>
        <v>0</v>
      </c>
    </row>
    <row r="131" spans="1:11" ht="12.75" thickBot="1">
      <c r="A131" s="898" t="s">
        <v>261</v>
      </c>
      <c r="B131" s="899" t="s">
        <v>141</v>
      </c>
      <c r="C131" s="1107"/>
      <c r="D131" s="22"/>
      <c r="E131" s="22"/>
      <c r="F131" s="1561" t="str">
        <f t="shared" si="6"/>
        <v>-</v>
      </c>
      <c r="G131" s="869"/>
      <c r="H131" s="870"/>
      <c r="I131" s="871"/>
      <c r="K131" s="4">
        <f t="shared" si="7"/>
        <v>0</v>
      </c>
    </row>
    <row r="132" spans="1:11" s="119" customFormat="1" ht="12.75" thickBot="1">
      <c r="A132" s="884" t="s">
        <v>15</v>
      </c>
      <c r="B132" s="891" t="s">
        <v>927</v>
      </c>
      <c r="C132" s="1103">
        <f>+C133+C134+C135+C136+C137+C138+C140+C141+C142+C143+C144+C145+C146</f>
        <v>0</v>
      </c>
      <c r="D132" s="28">
        <f>+D133+D134+D135+D136+D137+D138+D140+D141+D142+D143+D144+D145+D146</f>
        <v>654</v>
      </c>
      <c r="E132" s="28">
        <f>+E133+E134+E135+E136+E137+E138+E140+E141+E142+E143+E144+E145+E146</f>
        <v>654</v>
      </c>
      <c r="F132" s="1558">
        <f t="shared" si="6"/>
        <v>1</v>
      </c>
      <c r="G132" s="110">
        <f>+G133+G134+G135+G136+G137+G138+G140+G141+G142+G143+G144+G145+G146</f>
        <v>654</v>
      </c>
      <c r="H132" s="111">
        <f>+H133+H134+H135+H136+H137+H138+H140+H141+H142+H143+H144+H145+H146</f>
        <v>0</v>
      </c>
      <c r="I132" s="112">
        <f>+I133+I134+I135+I136+I137+I138+I140+I141+I142+I143+I144+I145+I146</f>
        <v>0</v>
      </c>
      <c r="K132" s="3">
        <f t="shared" si="7"/>
        <v>0</v>
      </c>
    </row>
    <row r="133" spans="1:11">
      <c r="A133" s="892" t="s">
        <v>87</v>
      </c>
      <c r="B133" s="113" t="s">
        <v>142</v>
      </c>
      <c r="C133" s="1104"/>
      <c r="D133" s="10"/>
      <c r="E133" s="10"/>
      <c r="F133" s="1560" t="str">
        <f t="shared" si="6"/>
        <v>-</v>
      </c>
      <c r="G133" s="114"/>
      <c r="H133" s="115"/>
      <c r="I133" s="116"/>
      <c r="K133" s="4">
        <f t="shared" si="7"/>
        <v>0</v>
      </c>
    </row>
    <row r="134" spans="1:11">
      <c r="A134" s="896" t="s">
        <v>88</v>
      </c>
      <c r="B134" s="897" t="s">
        <v>143</v>
      </c>
      <c r="C134" s="1106"/>
      <c r="D134" s="11">
        <v>654</v>
      </c>
      <c r="E134" s="11">
        <v>654</v>
      </c>
      <c r="F134" s="1562">
        <f t="shared" si="6"/>
        <v>1</v>
      </c>
      <c r="G134" s="866">
        <v>654</v>
      </c>
      <c r="H134" s="867"/>
      <c r="I134" s="868"/>
      <c r="K134" s="4">
        <f t="shared" si="7"/>
        <v>0</v>
      </c>
    </row>
    <row r="135" spans="1:11">
      <c r="A135" s="896" t="s">
        <v>182</v>
      </c>
      <c r="B135" s="897" t="s">
        <v>144</v>
      </c>
      <c r="C135" s="1106"/>
      <c r="D135" s="11"/>
      <c r="E135" s="11"/>
      <c r="F135" s="1562" t="str">
        <f t="shared" si="6"/>
        <v>-</v>
      </c>
      <c r="G135" s="866"/>
      <c r="H135" s="867"/>
      <c r="I135" s="868"/>
      <c r="K135" s="4">
        <f t="shared" si="7"/>
        <v>0</v>
      </c>
    </row>
    <row r="136" spans="1:11">
      <c r="A136" s="896" t="s">
        <v>183</v>
      </c>
      <c r="B136" s="897" t="s">
        <v>145</v>
      </c>
      <c r="C136" s="1106"/>
      <c r="D136" s="11"/>
      <c r="E136" s="11"/>
      <c r="F136" s="1562" t="str">
        <f t="shared" si="6"/>
        <v>-</v>
      </c>
      <c r="G136" s="866"/>
      <c r="H136" s="867"/>
      <c r="I136" s="868"/>
      <c r="K136" s="4">
        <f t="shared" si="7"/>
        <v>0</v>
      </c>
    </row>
    <row r="137" spans="1:11">
      <c r="A137" s="896" t="s">
        <v>184</v>
      </c>
      <c r="B137" s="897" t="s">
        <v>146</v>
      </c>
      <c r="C137" s="1106"/>
      <c r="D137" s="11"/>
      <c r="E137" s="11"/>
      <c r="F137" s="1562" t="str">
        <f t="shared" si="6"/>
        <v>-</v>
      </c>
      <c r="G137" s="866"/>
      <c r="H137" s="867"/>
      <c r="I137" s="868"/>
      <c r="K137" s="4">
        <f t="shared" si="7"/>
        <v>0</v>
      </c>
    </row>
    <row r="138" spans="1:11">
      <c r="A138" s="896" t="s">
        <v>262</v>
      </c>
      <c r="B138" s="897" t="s">
        <v>147</v>
      </c>
      <c r="C138" s="1106"/>
      <c r="D138" s="11"/>
      <c r="E138" s="11"/>
      <c r="F138" s="1562" t="str">
        <f t="shared" si="6"/>
        <v>-</v>
      </c>
      <c r="G138" s="866"/>
      <c r="H138" s="867"/>
      <c r="I138" s="868"/>
      <c r="K138" s="4">
        <f t="shared" si="7"/>
        <v>0</v>
      </c>
    </row>
    <row r="139" spans="1:11" s="117" customFormat="1">
      <c r="A139" s="900" t="s">
        <v>336</v>
      </c>
      <c r="B139" s="901" t="s">
        <v>933</v>
      </c>
      <c r="C139" s="1108"/>
      <c r="D139" s="43"/>
      <c r="E139" s="43"/>
      <c r="F139" s="1561" t="str">
        <f t="shared" si="6"/>
        <v>-</v>
      </c>
      <c r="G139" s="902"/>
      <c r="H139" s="903"/>
      <c r="I139" s="904"/>
      <c r="K139" s="13">
        <f t="shared" si="7"/>
        <v>0</v>
      </c>
    </row>
    <row r="140" spans="1:11">
      <c r="A140" s="896" t="s">
        <v>263</v>
      </c>
      <c r="B140" s="897" t="s">
        <v>148</v>
      </c>
      <c r="C140" s="1106"/>
      <c r="D140" s="11"/>
      <c r="E140" s="11"/>
      <c r="F140" s="1562" t="str">
        <f t="shared" si="6"/>
        <v>-</v>
      </c>
      <c r="G140" s="866"/>
      <c r="H140" s="867"/>
      <c r="I140" s="868"/>
      <c r="K140" s="4">
        <f t="shared" si="7"/>
        <v>0</v>
      </c>
    </row>
    <row r="141" spans="1:11">
      <c r="A141" s="896" t="s">
        <v>264</v>
      </c>
      <c r="B141" s="897" t="s">
        <v>149</v>
      </c>
      <c r="C141" s="1106"/>
      <c r="D141" s="11"/>
      <c r="E141" s="11"/>
      <c r="F141" s="1562" t="str">
        <f t="shared" si="6"/>
        <v>-</v>
      </c>
      <c r="G141" s="866"/>
      <c r="H141" s="867"/>
      <c r="I141" s="868"/>
      <c r="K141" s="4">
        <f t="shared" si="7"/>
        <v>0</v>
      </c>
    </row>
    <row r="142" spans="1:11">
      <c r="A142" s="896" t="s">
        <v>265</v>
      </c>
      <c r="B142" s="897" t="s">
        <v>150</v>
      </c>
      <c r="C142" s="1106"/>
      <c r="D142" s="11"/>
      <c r="E142" s="11"/>
      <c r="F142" s="1562" t="str">
        <f t="shared" si="6"/>
        <v>-</v>
      </c>
      <c r="G142" s="866"/>
      <c r="H142" s="867"/>
      <c r="I142" s="868"/>
      <c r="K142" s="4">
        <f t="shared" si="7"/>
        <v>0</v>
      </c>
    </row>
    <row r="143" spans="1:11">
      <c r="A143" s="896" t="s">
        <v>266</v>
      </c>
      <c r="B143" s="897" t="s">
        <v>151</v>
      </c>
      <c r="C143" s="1106"/>
      <c r="D143" s="11"/>
      <c r="E143" s="11"/>
      <c r="F143" s="1562" t="str">
        <f t="shared" si="6"/>
        <v>-</v>
      </c>
      <c r="G143" s="866"/>
      <c r="H143" s="867"/>
      <c r="I143" s="868"/>
      <c r="K143" s="4">
        <f t="shared" si="7"/>
        <v>0</v>
      </c>
    </row>
    <row r="144" spans="1:11">
      <c r="A144" s="896" t="s">
        <v>267</v>
      </c>
      <c r="B144" s="897" t="s">
        <v>928</v>
      </c>
      <c r="C144" s="1106"/>
      <c r="D144" s="11"/>
      <c r="E144" s="11"/>
      <c r="F144" s="1562" t="str">
        <f t="shared" si="6"/>
        <v>-</v>
      </c>
      <c r="G144" s="866"/>
      <c r="H144" s="867"/>
      <c r="I144" s="868"/>
      <c r="K144" s="4">
        <f t="shared" si="7"/>
        <v>0</v>
      </c>
    </row>
    <row r="145" spans="1:11">
      <c r="A145" s="896" t="s">
        <v>268</v>
      </c>
      <c r="B145" s="897" t="s">
        <v>929</v>
      </c>
      <c r="C145" s="1106"/>
      <c r="D145" s="11"/>
      <c r="E145" s="11"/>
      <c r="F145" s="1562" t="str">
        <f t="shared" si="6"/>
        <v>-</v>
      </c>
      <c r="G145" s="866"/>
      <c r="H145" s="867"/>
      <c r="I145" s="868"/>
      <c r="K145" s="4">
        <f t="shared" si="7"/>
        <v>0</v>
      </c>
    </row>
    <row r="146" spans="1:11">
      <c r="A146" s="898" t="s">
        <v>924</v>
      </c>
      <c r="B146" s="899" t="s">
        <v>930</v>
      </c>
      <c r="C146" s="1107">
        <f>+C147+C148</f>
        <v>0</v>
      </c>
      <c r="D146" s="22">
        <f>+D147+D148</f>
        <v>0</v>
      </c>
      <c r="E146" s="22">
        <f>+E147+E148</f>
        <v>0</v>
      </c>
      <c r="F146" s="1561" t="str">
        <f t="shared" si="6"/>
        <v>-</v>
      </c>
      <c r="G146" s="869">
        <f>+G147+G148</f>
        <v>0</v>
      </c>
      <c r="H146" s="870">
        <f>+H147+H148</f>
        <v>0</v>
      </c>
      <c r="I146" s="871">
        <f>+I147+I148</f>
        <v>0</v>
      </c>
      <c r="K146" s="4">
        <f t="shared" si="7"/>
        <v>0</v>
      </c>
    </row>
    <row r="147" spans="1:11" s="117" customFormat="1">
      <c r="A147" s="900" t="s">
        <v>925</v>
      </c>
      <c r="B147" s="922" t="s">
        <v>931</v>
      </c>
      <c r="C147" s="1108"/>
      <c r="D147" s="43"/>
      <c r="E147" s="43"/>
      <c r="F147" s="1561" t="str">
        <f t="shared" si="6"/>
        <v>-</v>
      </c>
      <c r="G147" s="902"/>
      <c r="H147" s="903"/>
      <c r="I147" s="904"/>
      <c r="K147" s="13">
        <f t="shared" si="7"/>
        <v>0</v>
      </c>
    </row>
    <row r="148" spans="1:11" s="117" customFormat="1" ht="12.75" thickBot="1">
      <c r="A148" s="900" t="s">
        <v>926</v>
      </c>
      <c r="B148" s="922" t="s">
        <v>932</v>
      </c>
      <c r="C148" s="1108"/>
      <c r="D148" s="43"/>
      <c r="E148" s="43"/>
      <c r="F148" s="1561" t="str">
        <f t="shared" si="6"/>
        <v>-</v>
      </c>
      <c r="G148" s="902"/>
      <c r="H148" s="903"/>
      <c r="I148" s="904"/>
      <c r="K148" s="13">
        <f t="shared" si="7"/>
        <v>0</v>
      </c>
    </row>
    <row r="149" spans="1:11" s="119" customFormat="1" ht="12.75" thickBot="1">
      <c r="A149" s="884" t="s">
        <v>14</v>
      </c>
      <c r="B149" s="905" t="s">
        <v>311</v>
      </c>
      <c r="C149" s="1103">
        <f>+C150+C159+C165</f>
        <v>11051</v>
      </c>
      <c r="D149" s="28">
        <f>+D150+D159+D165</f>
        <v>0</v>
      </c>
      <c r="E149" s="28">
        <f>+E150+E159+E165</f>
        <v>0</v>
      </c>
      <c r="F149" s="1558" t="str">
        <f t="shared" si="6"/>
        <v>-</v>
      </c>
      <c r="G149" s="110">
        <f>+G150+G159+G165</f>
        <v>0</v>
      </c>
      <c r="H149" s="111">
        <f>+H150+H159+H165</f>
        <v>0</v>
      </c>
      <c r="I149" s="112">
        <f>+I150+I159+I165</f>
        <v>0</v>
      </c>
      <c r="K149" s="3">
        <f t="shared" si="7"/>
        <v>0</v>
      </c>
    </row>
    <row r="150" spans="1:11" s="119" customFormat="1" ht="12.75" thickBot="1">
      <c r="A150" s="884" t="s">
        <v>13</v>
      </c>
      <c r="B150" s="891" t="s">
        <v>312</v>
      </c>
      <c r="C150" s="1103">
        <f>+C152+C153+C154+C155+C156+C157+C158</f>
        <v>11051</v>
      </c>
      <c r="D150" s="28">
        <f>+D152+D153+D154+D155+D156+D157+D158</f>
        <v>0</v>
      </c>
      <c r="E150" s="28">
        <f>+E152+E153+E154+E155+E156+E157+E158</f>
        <v>0</v>
      </c>
      <c r="F150" s="1558" t="str">
        <f t="shared" si="6"/>
        <v>-</v>
      </c>
      <c r="G150" s="110">
        <f>+G152+G153+G154+G155+G156+G157+G158</f>
        <v>0</v>
      </c>
      <c r="H150" s="111">
        <f>+H152+H153+H154+H155+H156+H157+H158</f>
        <v>0</v>
      </c>
      <c r="I150" s="112">
        <f>+I152+I153+I154+I155+I156+I157+I158</f>
        <v>0</v>
      </c>
      <c r="K150" s="3">
        <f t="shared" si="7"/>
        <v>0</v>
      </c>
    </row>
    <row r="151" spans="1:11" s="876" customFormat="1">
      <c r="A151" s="917" t="s">
        <v>934</v>
      </c>
      <c r="B151" s="918" t="s">
        <v>342</v>
      </c>
      <c r="C151" s="1110"/>
      <c r="D151" s="97"/>
      <c r="E151" s="97"/>
      <c r="F151" s="1559" t="str">
        <f t="shared" si="6"/>
        <v>-</v>
      </c>
      <c r="G151" s="919"/>
      <c r="H151" s="920"/>
      <c r="I151" s="921"/>
      <c r="K151" s="36">
        <f t="shared" si="7"/>
        <v>0</v>
      </c>
    </row>
    <row r="152" spans="1:11">
      <c r="A152" s="892" t="s">
        <v>66</v>
      </c>
      <c r="B152" s="113" t="s">
        <v>152</v>
      </c>
      <c r="C152" s="1104"/>
      <c r="D152" s="10"/>
      <c r="E152" s="10"/>
      <c r="F152" s="1560" t="str">
        <f t="shared" si="6"/>
        <v>-</v>
      </c>
      <c r="G152" s="114"/>
      <c r="H152" s="115"/>
      <c r="I152" s="116"/>
      <c r="K152" s="4">
        <f t="shared" si="7"/>
        <v>0</v>
      </c>
    </row>
    <row r="153" spans="1:11">
      <c r="A153" s="896" t="s">
        <v>67</v>
      </c>
      <c r="B153" s="897" t="s">
        <v>153</v>
      </c>
      <c r="C153" s="1106"/>
      <c r="D153" s="11"/>
      <c r="E153" s="11"/>
      <c r="F153" s="1562" t="str">
        <f t="shared" si="6"/>
        <v>-</v>
      </c>
      <c r="G153" s="866"/>
      <c r="H153" s="867"/>
      <c r="I153" s="868"/>
      <c r="K153" s="4">
        <f t="shared" si="7"/>
        <v>0</v>
      </c>
    </row>
    <row r="154" spans="1:11">
      <c r="A154" s="896" t="s">
        <v>68</v>
      </c>
      <c r="B154" s="897" t="s">
        <v>154</v>
      </c>
      <c r="C154" s="1106">
        <v>1575</v>
      </c>
      <c r="D154" s="11">
        <v>0</v>
      </c>
      <c r="E154" s="11"/>
      <c r="F154" s="1562" t="str">
        <f t="shared" si="6"/>
        <v>-</v>
      </c>
      <c r="G154" s="866"/>
      <c r="H154" s="867"/>
      <c r="I154" s="868"/>
      <c r="K154" s="4">
        <f t="shared" si="7"/>
        <v>0</v>
      </c>
    </row>
    <row r="155" spans="1:11">
      <c r="A155" s="896" t="s">
        <v>230</v>
      </c>
      <c r="B155" s="897" t="s">
        <v>155</v>
      </c>
      <c r="C155" s="1106">
        <v>7127</v>
      </c>
      <c r="D155" s="11">
        <v>0</v>
      </c>
      <c r="E155" s="11"/>
      <c r="F155" s="1562" t="str">
        <f t="shared" si="6"/>
        <v>-</v>
      </c>
      <c r="G155" s="866"/>
      <c r="H155" s="867"/>
      <c r="I155" s="868"/>
      <c r="K155" s="4">
        <f t="shared" si="7"/>
        <v>0</v>
      </c>
    </row>
    <row r="156" spans="1:11">
      <c r="A156" s="896" t="s">
        <v>231</v>
      </c>
      <c r="B156" s="897" t="s">
        <v>156</v>
      </c>
      <c r="C156" s="1106"/>
      <c r="D156" s="11"/>
      <c r="E156" s="11"/>
      <c r="F156" s="1562" t="str">
        <f t="shared" si="6"/>
        <v>-</v>
      </c>
      <c r="G156" s="866"/>
      <c r="H156" s="867"/>
      <c r="I156" s="868"/>
      <c r="K156" s="4">
        <f t="shared" si="7"/>
        <v>0</v>
      </c>
    </row>
    <row r="157" spans="1:11">
      <c r="A157" s="896" t="s">
        <v>269</v>
      </c>
      <c r="B157" s="897" t="s">
        <v>157</v>
      </c>
      <c r="C157" s="1106"/>
      <c r="D157" s="11"/>
      <c r="E157" s="11"/>
      <c r="F157" s="1562" t="str">
        <f t="shared" si="6"/>
        <v>-</v>
      </c>
      <c r="G157" s="866"/>
      <c r="H157" s="867"/>
      <c r="I157" s="868"/>
      <c r="K157" s="4">
        <f t="shared" si="7"/>
        <v>0</v>
      </c>
    </row>
    <row r="158" spans="1:11" ht="12.75" thickBot="1">
      <c r="A158" s="898" t="s">
        <v>270</v>
      </c>
      <c r="B158" s="899" t="s">
        <v>158</v>
      </c>
      <c r="C158" s="1107">
        <v>2349</v>
      </c>
      <c r="D158" s="22">
        <v>0</v>
      </c>
      <c r="E158" s="22"/>
      <c r="F158" s="1561" t="str">
        <f t="shared" si="6"/>
        <v>-</v>
      </c>
      <c r="G158" s="869"/>
      <c r="H158" s="870"/>
      <c r="I158" s="871"/>
      <c r="K158" s="4">
        <f t="shared" si="7"/>
        <v>0</v>
      </c>
    </row>
    <row r="159" spans="1:11" s="119" customFormat="1" ht="12.75" thickBot="1">
      <c r="A159" s="884" t="s">
        <v>12</v>
      </c>
      <c r="B159" s="891" t="s">
        <v>313</v>
      </c>
      <c r="C159" s="1103">
        <f>+C161+C162+C163+C164</f>
        <v>0</v>
      </c>
      <c r="D159" s="28">
        <f>+D161+D162+D163+D164</f>
        <v>0</v>
      </c>
      <c r="E159" s="28">
        <f>+E161+E162+E163+E164</f>
        <v>0</v>
      </c>
      <c r="F159" s="1558" t="str">
        <f t="shared" si="6"/>
        <v>-</v>
      </c>
      <c r="G159" s="110">
        <f>+G161+G162+G163+G164</f>
        <v>0</v>
      </c>
      <c r="H159" s="111">
        <f>+H161+H162+H163+H164</f>
        <v>0</v>
      </c>
      <c r="I159" s="112">
        <f>+I161+I162+I163+I164</f>
        <v>0</v>
      </c>
      <c r="K159" s="3">
        <f t="shared" si="7"/>
        <v>0</v>
      </c>
    </row>
    <row r="160" spans="1:11" s="876" customFormat="1">
      <c r="A160" s="917" t="s">
        <v>344</v>
      </c>
      <c r="B160" s="918" t="s">
        <v>345</v>
      </c>
      <c r="C160" s="1110"/>
      <c r="D160" s="97"/>
      <c r="E160" s="97"/>
      <c r="F160" s="1559" t="str">
        <f t="shared" si="6"/>
        <v>-</v>
      </c>
      <c r="G160" s="919"/>
      <c r="H160" s="920"/>
      <c r="I160" s="921"/>
      <c r="K160" s="36">
        <f t="shared" si="7"/>
        <v>0</v>
      </c>
    </row>
    <row r="161" spans="1:11">
      <c r="A161" s="892" t="s">
        <v>69</v>
      </c>
      <c r="B161" s="113" t="s">
        <v>159</v>
      </c>
      <c r="C161" s="1104"/>
      <c r="D161" s="10"/>
      <c r="E161" s="10"/>
      <c r="F161" s="1560" t="str">
        <f t="shared" si="6"/>
        <v>-</v>
      </c>
      <c r="G161" s="114"/>
      <c r="H161" s="115"/>
      <c r="I161" s="116"/>
      <c r="K161" s="4">
        <f t="shared" si="7"/>
        <v>0</v>
      </c>
    </row>
    <row r="162" spans="1:11">
      <c r="A162" s="896" t="s">
        <v>70</v>
      </c>
      <c r="B162" s="897" t="s">
        <v>160</v>
      </c>
      <c r="C162" s="1106"/>
      <c r="D162" s="11"/>
      <c r="E162" s="11"/>
      <c r="F162" s="1562" t="str">
        <f t="shared" si="6"/>
        <v>-</v>
      </c>
      <c r="G162" s="866"/>
      <c r="H162" s="867"/>
      <c r="I162" s="868"/>
      <c r="K162" s="4">
        <f t="shared" si="7"/>
        <v>0</v>
      </c>
    </row>
    <row r="163" spans="1:11">
      <c r="A163" s="896" t="s">
        <v>71</v>
      </c>
      <c r="B163" s="897" t="s">
        <v>161</v>
      </c>
      <c r="C163" s="1106"/>
      <c r="D163" s="11"/>
      <c r="E163" s="11"/>
      <c r="F163" s="1562" t="str">
        <f t="shared" si="6"/>
        <v>-</v>
      </c>
      <c r="G163" s="866"/>
      <c r="H163" s="867"/>
      <c r="I163" s="868"/>
      <c r="K163" s="4">
        <f t="shared" si="7"/>
        <v>0</v>
      </c>
    </row>
    <row r="164" spans="1:11" ht="12.75" thickBot="1">
      <c r="A164" s="898" t="s">
        <v>72</v>
      </c>
      <c r="B164" s="899" t="s">
        <v>162</v>
      </c>
      <c r="C164" s="1107"/>
      <c r="D164" s="22"/>
      <c r="E164" s="22"/>
      <c r="F164" s="1561" t="str">
        <f t="shared" si="6"/>
        <v>-</v>
      </c>
      <c r="G164" s="869"/>
      <c r="H164" s="870"/>
      <c r="I164" s="871"/>
      <c r="K164" s="4">
        <f t="shared" si="7"/>
        <v>0</v>
      </c>
    </row>
    <row r="165" spans="1:11" s="119" customFormat="1" ht="12.75" thickBot="1">
      <c r="A165" s="884" t="s">
        <v>11</v>
      </c>
      <c r="B165" s="891" t="s">
        <v>936</v>
      </c>
      <c r="C165" s="1103">
        <f>+C166+C167+C168+C169+C171+C172+C173+C174+C175</f>
        <v>0</v>
      </c>
      <c r="D165" s="28">
        <f>+D166+D167+D168+D169+D171+D172+D173+D174+D175</f>
        <v>0</v>
      </c>
      <c r="E165" s="28">
        <f>+E166+E167+E168+E169+E171+E172+E173+E174+E175</f>
        <v>0</v>
      </c>
      <c r="F165" s="1558" t="str">
        <f t="shared" si="6"/>
        <v>-</v>
      </c>
      <c r="G165" s="110">
        <f>+G166+G167+G168+G169+G171+G172+G173+G174+G175</f>
        <v>0</v>
      </c>
      <c r="H165" s="111">
        <f>+H166+H167+H168+H169+H171+H172+H173+H174+H175</f>
        <v>0</v>
      </c>
      <c r="I165" s="112">
        <f>+I166+I167+I168+I169+I171+I172+I173+I174+I175</f>
        <v>0</v>
      </c>
      <c r="K165" s="3">
        <f t="shared" si="7"/>
        <v>0</v>
      </c>
    </row>
    <row r="166" spans="1:11">
      <c r="A166" s="892" t="s">
        <v>271</v>
      </c>
      <c r="B166" s="113" t="s">
        <v>163</v>
      </c>
      <c r="C166" s="1104"/>
      <c r="D166" s="10"/>
      <c r="E166" s="10"/>
      <c r="F166" s="1560" t="str">
        <f t="shared" si="6"/>
        <v>-</v>
      </c>
      <c r="G166" s="114"/>
      <c r="H166" s="115"/>
      <c r="I166" s="116"/>
      <c r="K166" s="4">
        <f t="shared" si="7"/>
        <v>0</v>
      </c>
    </row>
    <row r="167" spans="1:11">
      <c r="A167" s="896" t="s">
        <v>272</v>
      </c>
      <c r="B167" s="897" t="s">
        <v>164</v>
      </c>
      <c r="C167" s="1106"/>
      <c r="D167" s="11"/>
      <c r="E167" s="11"/>
      <c r="F167" s="1562" t="str">
        <f t="shared" si="6"/>
        <v>-</v>
      </c>
      <c r="G167" s="866"/>
      <c r="H167" s="867"/>
      <c r="I167" s="868"/>
      <c r="K167" s="4">
        <f t="shared" si="7"/>
        <v>0</v>
      </c>
    </row>
    <row r="168" spans="1:11">
      <c r="A168" s="896" t="s">
        <v>273</v>
      </c>
      <c r="B168" s="897" t="s">
        <v>165</v>
      </c>
      <c r="C168" s="1106"/>
      <c r="D168" s="11"/>
      <c r="E168" s="11"/>
      <c r="F168" s="1562" t="str">
        <f t="shared" si="6"/>
        <v>-</v>
      </c>
      <c r="G168" s="866"/>
      <c r="H168" s="867"/>
      <c r="I168" s="868"/>
      <c r="K168" s="4">
        <f t="shared" si="7"/>
        <v>0</v>
      </c>
    </row>
    <row r="169" spans="1:11">
      <c r="A169" s="896" t="s">
        <v>274</v>
      </c>
      <c r="B169" s="897" t="s">
        <v>166</v>
      </c>
      <c r="C169" s="1106"/>
      <c r="D169" s="11"/>
      <c r="E169" s="11"/>
      <c r="F169" s="1562" t="str">
        <f t="shared" si="6"/>
        <v>-</v>
      </c>
      <c r="G169" s="866"/>
      <c r="H169" s="867"/>
      <c r="I169" s="868"/>
      <c r="K169" s="4">
        <f t="shared" si="7"/>
        <v>0</v>
      </c>
    </row>
    <row r="170" spans="1:11" s="117" customFormat="1">
      <c r="A170" s="900" t="s">
        <v>339</v>
      </c>
      <c r="B170" s="901" t="s">
        <v>340</v>
      </c>
      <c r="C170" s="1108"/>
      <c r="D170" s="43"/>
      <c r="E170" s="43"/>
      <c r="F170" s="1561" t="str">
        <f t="shared" si="6"/>
        <v>-</v>
      </c>
      <c r="G170" s="902"/>
      <c r="H170" s="903"/>
      <c r="I170" s="904"/>
      <c r="K170" s="13">
        <f t="shared" si="7"/>
        <v>0</v>
      </c>
    </row>
    <row r="171" spans="1:11">
      <c r="A171" s="896" t="s">
        <v>275</v>
      </c>
      <c r="B171" s="897" t="s">
        <v>167</v>
      </c>
      <c r="C171" s="1106"/>
      <c r="D171" s="11"/>
      <c r="E171" s="11"/>
      <c r="F171" s="1562" t="str">
        <f t="shared" si="6"/>
        <v>-</v>
      </c>
      <c r="G171" s="866"/>
      <c r="H171" s="867"/>
      <c r="I171" s="868"/>
      <c r="K171" s="4">
        <f t="shared" si="7"/>
        <v>0</v>
      </c>
    </row>
    <row r="172" spans="1:11">
      <c r="A172" s="896" t="s">
        <v>276</v>
      </c>
      <c r="B172" s="897" t="s">
        <v>168</v>
      </c>
      <c r="C172" s="1106"/>
      <c r="D172" s="11"/>
      <c r="E172" s="11"/>
      <c r="F172" s="1562" t="str">
        <f t="shared" si="6"/>
        <v>-</v>
      </c>
      <c r="G172" s="866"/>
      <c r="H172" s="867"/>
      <c r="I172" s="868"/>
      <c r="K172" s="4">
        <f t="shared" si="7"/>
        <v>0</v>
      </c>
    </row>
    <row r="173" spans="1:11">
      <c r="A173" s="896" t="s">
        <v>277</v>
      </c>
      <c r="B173" s="897" t="s">
        <v>169</v>
      </c>
      <c r="C173" s="1106"/>
      <c r="D173" s="11"/>
      <c r="E173" s="11"/>
      <c r="F173" s="1562" t="str">
        <f t="shared" ref="F173:F208" si="8">IF(ISERROR(E173/D173),"-",E173/D173)</f>
        <v>-</v>
      </c>
      <c r="G173" s="866"/>
      <c r="H173" s="867"/>
      <c r="I173" s="868"/>
      <c r="K173" s="4">
        <f t="shared" ref="K173:K208" si="9">+E173-G173-H173-I173</f>
        <v>0</v>
      </c>
    </row>
    <row r="174" spans="1:11">
      <c r="A174" s="896" t="s">
        <v>278</v>
      </c>
      <c r="B174" s="897" t="s">
        <v>937</v>
      </c>
      <c r="C174" s="1106"/>
      <c r="D174" s="11"/>
      <c r="E174" s="11"/>
      <c r="F174" s="1562" t="str">
        <f t="shared" si="8"/>
        <v>-</v>
      </c>
      <c r="G174" s="866"/>
      <c r="H174" s="867"/>
      <c r="I174" s="868"/>
      <c r="K174" s="4">
        <f t="shared" si="9"/>
        <v>0</v>
      </c>
    </row>
    <row r="175" spans="1:11" ht="12.75" thickBot="1">
      <c r="A175" s="898" t="s">
        <v>935</v>
      </c>
      <c r="B175" s="899" t="s">
        <v>938</v>
      </c>
      <c r="C175" s="1107"/>
      <c r="D175" s="22"/>
      <c r="E175" s="22"/>
      <c r="F175" s="1561" t="str">
        <f t="shared" si="8"/>
        <v>-</v>
      </c>
      <c r="G175" s="869"/>
      <c r="H175" s="870"/>
      <c r="I175" s="871"/>
      <c r="K175" s="4">
        <f t="shared" si="9"/>
        <v>0</v>
      </c>
    </row>
    <row r="176" spans="1:11" s="119" customFormat="1" ht="12.75" thickBot="1">
      <c r="A176" s="884" t="s">
        <v>10</v>
      </c>
      <c r="B176" s="905" t="s">
        <v>314</v>
      </c>
      <c r="C176" s="1103">
        <f>+C109+C149</f>
        <v>54272</v>
      </c>
      <c r="D176" s="28">
        <f>+D109+D149</f>
        <v>41628</v>
      </c>
      <c r="E176" s="28">
        <f>+E109+E149</f>
        <v>39559</v>
      </c>
      <c r="F176" s="1558">
        <f t="shared" si="8"/>
        <v>0.95029787642932639</v>
      </c>
      <c r="G176" s="110">
        <f>+G109+G149</f>
        <v>39559</v>
      </c>
      <c r="H176" s="111">
        <f>+H109+H149</f>
        <v>0</v>
      </c>
      <c r="I176" s="112">
        <f>+I109+I149</f>
        <v>0</v>
      </c>
      <c r="K176" s="3">
        <f t="shared" si="9"/>
        <v>0</v>
      </c>
    </row>
    <row r="177" spans="1:11" s="119" customFormat="1" ht="12.75" thickBot="1">
      <c r="A177" s="884" t="s">
        <v>9</v>
      </c>
      <c r="B177" s="906" t="s">
        <v>315</v>
      </c>
      <c r="C177" s="1103">
        <f>+C178</f>
        <v>0</v>
      </c>
      <c r="D177" s="28">
        <f>+D178</f>
        <v>0</v>
      </c>
      <c r="E177" s="28">
        <f>+E178</f>
        <v>0</v>
      </c>
      <c r="F177" s="1558" t="str">
        <f t="shared" si="8"/>
        <v>-</v>
      </c>
      <c r="G177" s="110">
        <f>+G178</f>
        <v>0</v>
      </c>
      <c r="H177" s="111">
        <f>+H178</f>
        <v>0</v>
      </c>
      <c r="I177" s="112">
        <f>+I178</f>
        <v>0</v>
      </c>
      <c r="K177" s="3">
        <f t="shared" si="9"/>
        <v>0</v>
      </c>
    </row>
    <row r="178" spans="1:11" s="119" customFormat="1" ht="12.75" thickBot="1">
      <c r="A178" s="884" t="s">
        <v>45</v>
      </c>
      <c r="B178" s="891" t="s">
        <v>945</v>
      </c>
      <c r="C178" s="1103">
        <f>+C179+C189+C190+C191</f>
        <v>0</v>
      </c>
      <c r="D178" s="28">
        <f>+D179+D189+D190+D191</f>
        <v>0</v>
      </c>
      <c r="E178" s="28">
        <f>+E179+E189+E190+E191</f>
        <v>0</v>
      </c>
      <c r="F178" s="1558" t="str">
        <f t="shared" si="8"/>
        <v>-</v>
      </c>
      <c r="G178" s="110">
        <f>+G179+G189+G190+G191</f>
        <v>0</v>
      </c>
      <c r="H178" s="111">
        <f>+H179+H189+H190+H191</f>
        <v>0</v>
      </c>
      <c r="I178" s="112">
        <f>+I179+I189+I190+I191</f>
        <v>0</v>
      </c>
      <c r="K178" s="3">
        <f t="shared" si="9"/>
        <v>0</v>
      </c>
    </row>
    <row r="179" spans="1:11">
      <c r="A179" s="892" t="s">
        <v>75</v>
      </c>
      <c r="B179" s="113" t="s">
        <v>946</v>
      </c>
      <c r="C179" s="1104">
        <f>+C180+C181+C182+C183+C184+C185+C186+C187+C188</f>
        <v>0</v>
      </c>
      <c r="D179" s="10">
        <f>+D180+D181+D182+D183+D184+D185+D186+D187+D188</f>
        <v>0</v>
      </c>
      <c r="E179" s="10">
        <f>+E180+E181+E182+E183+E184+E185+E186+E187+E188</f>
        <v>0</v>
      </c>
      <c r="F179" s="1560" t="str">
        <f t="shared" si="8"/>
        <v>-</v>
      </c>
      <c r="G179" s="114">
        <f>+G180+G181+G182+G183+G184+G185+G186+G187+G188</f>
        <v>0</v>
      </c>
      <c r="H179" s="115">
        <f>+H180+H181+H182+H183+H184+H185+H186+H187+H188</f>
        <v>0</v>
      </c>
      <c r="I179" s="116">
        <f>+I180+I181+I182+I183+I184+I185+I186+I187+I188</f>
        <v>0</v>
      </c>
      <c r="K179" s="4">
        <f t="shared" si="9"/>
        <v>0</v>
      </c>
    </row>
    <row r="180" spans="1:11" s="117" customFormat="1">
      <c r="A180" s="108" t="s">
        <v>205</v>
      </c>
      <c r="B180" s="109" t="s">
        <v>170</v>
      </c>
      <c r="C180" s="1105"/>
      <c r="D180" s="12"/>
      <c r="E180" s="12"/>
      <c r="F180" s="1562" t="str">
        <f t="shared" si="8"/>
        <v>-</v>
      </c>
      <c r="G180" s="656"/>
      <c r="H180" s="657"/>
      <c r="I180" s="658"/>
      <c r="K180" s="13">
        <f t="shared" si="9"/>
        <v>0</v>
      </c>
    </row>
    <row r="181" spans="1:11" s="117" customFormat="1">
      <c r="A181" s="108" t="s">
        <v>206</v>
      </c>
      <c r="B181" s="109" t="s">
        <v>171</v>
      </c>
      <c r="C181" s="1105"/>
      <c r="D181" s="12"/>
      <c r="E181" s="12"/>
      <c r="F181" s="1562" t="str">
        <f t="shared" si="8"/>
        <v>-</v>
      </c>
      <c r="G181" s="656"/>
      <c r="H181" s="657"/>
      <c r="I181" s="658"/>
      <c r="K181" s="13">
        <f t="shared" si="9"/>
        <v>0</v>
      </c>
    </row>
    <row r="182" spans="1:11" s="117" customFormat="1">
      <c r="A182" s="108" t="s">
        <v>207</v>
      </c>
      <c r="B182" s="109" t="s">
        <v>172</v>
      </c>
      <c r="C182" s="1105"/>
      <c r="D182" s="12"/>
      <c r="E182" s="12"/>
      <c r="F182" s="1562" t="str">
        <f t="shared" si="8"/>
        <v>-</v>
      </c>
      <c r="G182" s="656"/>
      <c r="H182" s="657"/>
      <c r="I182" s="658"/>
      <c r="K182" s="13">
        <f t="shared" si="9"/>
        <v>0</v>
      </c>
    </row>
    <row r="183" spans="1:11" s="117" customFormat="1">
      <c r="A183" s="108" t="s">
        <v>208</v>
      </c>
      <c r="B183" s="109" t="s">
        <v>173</v>
      </c>
      <c r="C183" s="1105"/>
      <c r="D183" s="12"/>
      <c r="E183" s="12"/>
      <c r="F183" s="1562" t="str">
        <f t="shared" si="8"/>
        <v>-</v>
      </c>
      <c r="G183" s="656"/>
      <c r="H183" s="657"/>
      <c r="I183" s="658"/>
      <c r="K183" s="13">
        <f t="shared" si="9"/>
        <v>0</v>
      </c>
    </row>
    <row r="184" spans="1:11" s="117" customFormat="1">
      <c r="A184" s="108" t="s">
        <v>209</v>
      </c>
      <c r="B184" s="109" t="s">
        <v>174</v>
      </c>
      <c r="C184" s="1105"/>
      <c r="D184" s="12"/>
      <c r="E184" s="12"/>
      <c r="F184" s="1569" t="str">
        <f t="shared" si="8"/>
        <v>-</v>
      </c>
      <c r="G184" s="656"/>
      <c r="H184" s="657"/>
      <c r="I184" s="658"/>
      <c r="K184" s="117">
        <f t="shared" si="9"/>
        <v>0</v>
      </c>
    </row>
    <row r="185" spans="1:11" s="117" customFormat="1">
      <c r="A185" s="108" t="s">
        <v>210</v>
      </c>
      <c r="B185" s="109" t="s">
        <v>179</v>
      </c>
      <c r="C185" s="1105"/>
      <c r="D185" s="12"/>
      <c r="E185" s="12"/>
      <c r="F185" s="1562" t="str">
        <f t="shared" si="8"/>
        <v>-</v>
      </c>
      <c r="G185" s="656"/>
      <c r="H185" s="657"/>
      <c r="I185" s="658"/>
      <c r="K185" s="13">
        <f t="shared" si="9"/>
        <v>0</v>
      </c>
    </row>
    <row r="186" spans="1:11" s="117" customFormat="1">
      <c r="A186" s="108" t="s">
        <v>211</v>
      </c>
      <c r="B186" s="109" t="s">
        <v>175</v>
      </c>
      <c r="C186" s="1105"/>
      <c r="D186" s="12"/>
      <c r="E186" s="12"/>
      <c r="F186" s="1562" t="str">
        <f t="shared" si="8"/>
        <v>-</v>
      </c>
      <c r="G186" s="656"/>
      <c r="H186" s="657"/>
      <c r="I186" s="658"/>
      <c r="K186" s="13">
        <f t="shared" si="9"/>
        <v>0</v>
      </c>
    </row>
    <row r="187" spans="1:11" s="117" customFormat="1">
      <c r="A187" s="108" t="s">
        <v>212</v>
      </c>
      <c r="B187" s="109" t="s">
        <v>176</v>
      </c>
      <c r="C187" s="1105"/>
      <c r="D187" s="12"/>
      <c r="E187" s="12"/>
      <c r="F187" s="1562" t="str">
        <f t="shared" si="8"/>
        <v>-</v>
      </c>
      <c r="G187" s="656"/>
      <c r="H187" s="657"/>
      <c r="I187" s="658"/>
      <c r="K187" s="13">
        <f t="shared" si="9"/>
        <v>0</v>
      </c>
    </row>
    <row r="188" spans="1:11" s="117" customFormat="1">
      <c r="A188" s="108" t="s">
        <v>939</v>
      </c>
      <c r="B188" s="109" t="s">
        <v>941</v>
      </c>
      <c r="C188" s="1105"/>
      <c r="D188" s="12"/>
      <c r="E188" s="12"/>
      <c r="F188" s="1562" t="str">
        <f t="shared" si="8"/>
        <v>-</v>
      </c>
      <c r="G188" s="656"/>
      <c r="H188" s="657"/>
      <c r="I188" s="658"/>
      <c r="K188" s="13">
        <f t="shared" si="9"/>
        <v>0</v>
      </c>
    </row>
    <row r="189" spans="1:11">
      <c r="A189" s="896" t="s">
        <v>76</v>
      </c>
      <c r="B189" s="897" t="s">
        <v>177</v>
      </c>
      <c r="C189" s="1106"/>
      <c r="D189" s="11"/>
      <c r="E189" s="11"/>
      <c r="F189" s="1562" t="str">
        <f t="shared" si="8"/>
        <v>-</v>
      </c>
      <c r="G189" s="866"/>
      <c r="H189" s="867"/>
      <c r="I189" s="868"/>
      <c r="K189" s="4">
        <f t="shared" si="9"/>
        <v>0</v>
      </c>
    </row>
    <row r="190" spans="1:11">
      <c r="A190" s="898" t="s">
        <v>77</v>
      </c>
      <c r="B190" s="899" t="s">
        <v>178</v>
      </c>
      <c r="C190" s="1107"/>
      <c r="D190" s="22"/>
      <c r="E190" s="22"/>
      <c r="F190" s="1561" t="str">
        <f t="shared" si="8"/>
        <v>-</v>
      </c>
      <c r="G190" s="869"/>
      <c r="H190" s="870"/>
      <c r="I190" s="871"/>
      <c r="K190" s="4">
        <f t="shared" si="9"/>
        <v>0</v>
      </c>
    </row>
    <row r="191" spans="1:11" ht="12.75" thickBot="1">
      <c r="A191" s="898" t="s">
        <v>944</v>
      </c>
      <c r="B191" s="899" t="s">
        <v>942</v>
      </c>
      <c r="C191" s="1107"/>
      <c r="D191" s="22"/>
      <c r="E191" s="22"/>
      <c r="F191" s="1561" t="str">
        <f t="shared" si="8"/>
        <v>-</v>
      </c>
      <c r="G191" s="869"/>
      <c r="H191" s="870"/>
      <c r="I191" s="871"/>
      <c r="K191" s="4">
        <f t="shared" si="9"/>
        <v>0</v>
      </c>
    </row>
    <row r="192" spans="1:11" s="119" customFormat="1" ht="12.75" thickBot="1">
      <c r="A192" s="884" t="s">
        <v>44</v>
      </c>
      <c r="B192" s="905" t="s">
        <v>316</v>
      </c>
      <c r="C192" s="1103">
        <f>+C193</f>
        <v>0</v>
      </c>
      <c r="D192" s="28">
        <f>+D193</f>
        <v>0</v>
      </c>
      <c r="E192" s="28">
        <f>+E193</f>
        <v>0</v>
      </c>
      <c r="F192" s="1558" t="str">
        <f t="shared" si="8"/>
        <v>-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9"/>
        <v>0</v>
      </c>
    </row>
    <row r="193" spans="1:11" s="119" customFormat="1" ht="12.75" thickBot="1">
      <c r="A193" s="884" t="s">
        <v>43</v>
      </c>
      <c r="B193" s="891" t="s">
        <v>940</v>
      </c>
      <c r="C193" s="1103">
        <f>+C194+C204+C205+C206</f>
        <v>0</v>
      </c>
      <c r="D193" s="28">
        <f>+D194+D204+D205+D206</f>
        <v>0</v>
      </c>
      <c r="E193" s="28">
        <f>+E194+E204+E205+E206</f>
        <v>0</v>
      </c>
      <c r="F193" s="1558" t="str">
        <f t="shared" si="8"/>
        <v>-</v>
      </c>
      <c r="G193" s="110">
        <f>+G194+G204+G205+G206</f>
        <v>0</v>
      </c>
      <c r="H193" s="111">
        <f>+H194+H204+H205+H206</f>
        <v>0</v>
      </c>
      <c r="I193" s="112">
        <f>+I194+I204+I205+I206</f>
        <v>0</v>
      </c>
      <c r="K193" s="3">
        <f t="shared" si="9"/>
        <v>0</v>
      </c>
    </row>
    <row r="194" spans="1:11">
      <c r="A194" s="892" t="s">
        <v>78</v>
      </c>
      <c r="B194" s="113" t="s">
        <v>978</v>
      </c>
      <c r="C194" s="1104">
        <f>+C195+C196+C197+C198+C199+C200+C201+C202+C203</f>
        <v>0</v>
      </c>
      <c r="D194" s="10">
        <f>+D195+D196+D197+D198+D199+D200+D201+D202+D203</f>
        <v>0</v>
      </c>
      <c r="E194" s="10">
        <f>+E195+E196+E197+E198+E199+E200+E201+E202+E203</f>
        <v>0</v>
      </c>
      <c r="F194" s="1560" t="str">
        <f t="shared" si="8"/>
        <v>-</v>
      </c>
      <c r="G194" s="114">
        <f>+G195+G196+G197+G198+G199+G200+G201+G202+G203</f>
        <v>0</v>
      </c>
      <c r="H194" s="115">
        <f>+H195+H196+H197+H198+H199+H200+H201+H202+H203</f>
        <v>0</v>
      </c>
      <c r="I194" s="116">
        <f>+I195+I196+I197+I198+I199+I200+I201+I202+I203</f>
        <v>0</v>
      </c>
      <c r="K194" s="4">
        <f t="shared" si="9"/>
        <v>0</v>
      </c>
    </row>
    <row r="195" spans="1:11" s="117" customFormat="1">
      <c r="A195" s="108" t="s">
        <v>213</v>
      </c>
      <c r="B195" s="109" t="s">
        <v>170</v>
      </c>
      <c r="C195" s="1105"/>
      <c r="D195" s="12"/>
      <c r="E195" s="12"/>
      <c r="F195" s="1562" t="str">
        <f t="shared" si="8"/>
        <v>-</v>
      </c>
      <c r="G195" s="656"/>
      <c r="H195" s="657"/>
      <c r="I195" s="658"/>
      <c r="K195" s="13">
        <f t="shared" si="9"/>
        <v>0</v>
      </c>
    </row>
    <row r="196" spans="1:11" s="117" customFormat="1">
      <c r="A196" s="108" t="s">
        <v>214</v>
      </c>
      <c r="B196" s="109" t="s">
        <v>171</v>
      </c>
      <c r="C196" s="1105"/>
      <c r="D196" s="12"/>
      <c r="E196" s="12"/>
      <c r="F196" s="1562" t="str">
        <f t="shared" si="8"/>
        <v>-</v>
      </c>
      <c r="G196" s="656"/>
      <c r="H196" s="657"/>
      <c r="I196" s="658"/>
      <c r="K196" s="13">
        <f t="shared" si="9"/>
        <v>0</v>
      </c>
    </row>
    <row r="197" spans="1:11" s="117" customFormat="1">
      <c r="A197" s="108" t="s">
        <v>215</v>
      </c>
      <c r="B197" s="109" t="s">
        <v>172</v>
      </c>
      <c r="C197" s="1105"/>
      <c r="D197" s="12"/>
      <c r="E197" s="12"/>
      <c r="F197" s="1562" t="str">
        <f t="shared" si="8"/>
        <v>-</v>
      </c>
      <c r="G197" s="656"/>
      <c r="H197" s="657"/>
      <c r="I197" s="658"/>
      <c r="K197" s="13">
        <f t="shared" si="9"/>
        <v>0</v>
      </c>
    </row>
    <row r="198" spans="1:11" s="117" customFormat="1">
      <c r="A198" s="108" t="s">
        <v>216</v>
      </c>
      <c r="B198" s="109" t="s">
        <v>173</v>
      </c>
      <c r="C198" s="1105"/>
      <c r="D198" s="12"/>
      <c r="E198" s="12"/>
      <c r="F198" s="1562" t="str">
        <f t="shared" si="8"/>
        <v>-</v>
      </c>
      <c r="G198" s="656"/>
      <c r="H198" s="657"/>
      <c r="I198" s="658"/>
      <c r="K198" s="13">
        <f t="shared" si="9"/>
        <v>0</v>
      </c>
    </row>
    <row r="199" spans="1:11" s="117" customFormat="1">
      <c r="A199" s="108" t="s">
        <v>217</v>
      </c>
      <c r="B199" s="109" t="s">
        <v>174</v>
      </c>
      <c r="C199" s="1105"/>
      <c r="D199" s="12"/>
      <c r="E199" s="12"/>
      <c r="F199" s="1569" t="str">
        <f t="shared" si="8"/>
        <v>-</v>
      </c>
      <c r="G199" s="656"/>
      <c r="H199" s="657"/>
      <c r="I199" s="658"/>
      <c r="K199" s="117">
        <f t="shared" si="9"/>
        <v>0</v>
      </c>
    </row>
    <row r="200" spans="1:11" s="117" customFormat="1">
      <c r="A200" s="108" t="s">
        <v>218</v>
      </c>
      <c r="B200" s="109" t="s">
        <v>179</v>
      </c>
      <c r="C200" s="1105"/>
      <c r="D200" s="12"/>
      <c r="E200" s="12"/>
      <c r="F200" s="1562" t="str">
        <f t="shared" si="8"/>
        <v>-</v>
      </c>
      <c r="G200" s="656"/>
      <c r="H200" s="657"/>
      <c r="I200" s="658"/>
      <c r="K200" s="13">
        <f t="shared" si="9"/>
        <v>0</v>
      </c>
    </row>
    <row r="201" spans="1:11" s="117" customFormat="1">
      <c r="A201" s="108" t="s">
        <v>219</v>
      </c>
      <c r="B201" s="109" t="s">
        <v>175</v>
      </c>
      <c r="C201" s="1105"/>
      <c r="D201" s="12"/>
      <c r="E201" s="12"/>
      <c r="F201" s="1562" t="str">
        <f t="shared" si="8"/>
        <v>-</v>
      </c>
      <c r="G201" s="656"/>
      <c r="H201" s="657"/>
      <c r="I201" s="658"/>
      <c r="K201" s="13">
        <f t="shared" si="9"/>
        <v>0</v>
      </c>
    </row>
    <row r="202" spans="1:11" s="117" customFormat="1">
      <c r="A202" s="108" t="s">
        <v>220</v>
      </c>
      <c r="B202" s="109" t="s">
        <v>176</v>
      </c>
      <c r="C202" s="1105"/>
      <c r="D202" s="12"/>
      <c r="E202" s="12"/>
      <c r="F202" s="1562" t="str">
        <f t="shared" si="8"/>
        <v>-</v>
      </c>
      <c r="G202" s="656"/>
      <c r="H202" s="657"/>
      <c r="I202" s="658"/>
      <c r="K202" s="13">
        <f t="shared" si="9"/>
        <v>0</v>
      </c>
    </row>
    <row r="203" spans="1:11" s="117" customFormat="1">
      <c r="A203" s="108" t="s">
        <v>939</v>
      </c>
      <c r="B203" s="109" t="s">
        <v>941</v>
      </c>
      <c r="C203" s="1105"/>
      <c r="D203" s="12"/>
      <c r="E203" s="12"/>
      <c r="F203" s="1562" t="str">
        <f t="shared" si="8"/>
        <v>-</v>
      </c>
      <c r="G203" s="656"/>
      <c r="H203" s="657"/>
      <c r="I203" s="658"/>
      <c r="K203" s="13">
        <f t="shared" si="9"/>
        <v>0</v>
      </c>
    </row>
    <row r="204" spans="1:11">
      <c r="A204" s="896" t="s">
        <v>79</v>
      </c>
      <c r="B204" s="897" t="s">
        <v>177</v>
      </c>
      <c r="C204" s="1106"/>
      <c r="D204" s="11"/>
      <c r="E204" s="11"/>
      <c r="F204" s="1562" t="str">
        <f t="shared" si="8"/>
        <v>-</v>
      </c>
      <c r="G204" s="866"/>
      <c r="H204" s="867"/>
      <c r="I204" s="868"/>
      <c r="K204" s="4">
        <f t="shared" si="9"/>
        <v>0</v>
      </c>
    </row>
    <row r="205" spans="1:11">
      <c r="A205" s="898" t="s">
        <v>221</v>
      </c>
      <c r="B205" s="899" t="s">
        <v>178</v>
      </c>
      <c r="C205" s="1107"/>
      <c r="D205" s="22"/>
      <c r="E205" s="22"/>
      <c r="F205" s="1561" t="str">
        <f t="shared" si="8"/>
        <v>-</v>
      </c>
      <c r="G205" s="869"/>
      <c r="H205" s="870"/>
      <c r="I205" s="871"/>
      <c r="K205" s="4">
        <f t="shared" si="9"/>
        <v>0</v>
      </c>
    </row>
    <row r="206" spans="1:11" ht="12.75" thickBot="1">
      <c r="A206" s="898" t="s">
        <v>943</v>
      </c>
      <c r="B206" s="899" t="s">
        <v>942</v>
      </c>
      <c r="C206" s="1107"/>
      <c r="D206" s="22"/>
      <c r="E206" s="22"/>
      <c r="F206" s="1561" t="str">
        <f t="shared" si="8"/>
        <v>-</v>
      </c>
      <c r="G206" s="869"/>
      <c r="H206" s="870"/>
      <c r="I206" s="871"/>
      <c r="K206" s="4">
        <f t="shared" si="9"/>
        <v>0</v>
      </c>
    </row>
    <row r="207" spans="1:11" s="119" customFormat="1" ht="12.75" thickBot="1">
      <c r="A207" s="884" t="s">
        <v>40</v>
      </c>
      <c r="B207" s="905" t="s">
        <v>317</v>
      </c>
      <c r="C207" s="1103">
        <f>+C177+C192</f>
        <v>0</v>
      </c>
      <c r="D207" s="28">
        <f>+D177+D192</f>
        <v>0</v>
      </c>
      <c r="E207" s="28">
        <f>+E177+E192</f>
        <v>0</v>
      </c>
      <c r="F207" s="1558" t="str">
        <f t="shared" si="8"/>
        <v>-</v>
      </c>
      <c r="G207" s="110">
        <f>+G177+G192</f>
        <v>0</v>
      </c>
      <c r="H207" s="111">
        <f>+H177+H192</f>
        <v>0</v>
      </c>
      <c r="I207" s="112">
        <f>+I177+I192</f>
        <v>0</v>
      </c>
      <c r="K207" s="3">
        <f t="shared" si="9"/>
        <v>0</v>
      </c>
    </row>
    <row r="208" spans="1:11" s="119" customFormat="1" ht="12.75" thickBot="1">
      <c r="A208" s="907" t="s">
        <v>39</v>
      </c>
      <c r="B208" s="908" t="s">
        <v>335</v>
      </c>
      <c r="C208" s="1109">
        <f>+C176+C207</f>
        <v>54272</v>
      </c>
      <c r="D208" s="25">
        <f>+D176+D207</f>
        <v>41628</v>
      </c>
      <c r="E208" s="25">
        <f>+E176+E207</f>
        <v>39559</v>
      </c>
      <c r="F208" s="1564">
        <f t="shared" si="8"/>
        <v>0.95029787642932639</v>
      </c>
      <c r="G208" s="909">
        <f>+G176+G207</f>
        <v>39559</v>
      </c>
      <c r="H208" s="910">
        <f>+H176+H207</f>
        <v>0</v>
      </c>
      <c r="I208" s="911">
        <f>+I176+I207</f>
        <v>0</v>
      </c>
      <c r="K208" s="3">
        <f t="shared" si="9"/>
        <v>0</v>
      </c>
    </row>
    <row r="211" spans="1:30" s="1" customFormat="1" ht="15.75">
      <c r="A211" s="1790" t="s">
        <v>89</v>
      </c>
      <c r="B211" s="1790"/>
      <c r="C211" s="1790"/>
      <c r="D211" s="1790"/>
      <c r="E211" s="1790"/>
      <c r="F211" s="1790"/>
      <c r="G211" s="1790"/>
      <c r="H211" s="1790"/>
      <c r="I211" s="1790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s="876" customFormat="1" ht="12.75" thickBot="1">
      <c r="A212" s="875" t="s">
        <v>282</v>
      </c>
      <c r="C212" s="36"/>
      <c r="D212" s="36"/>
      <c r="E212" s="36"/>
      <c r="F212" s="1548"/>
      <c r="I212" s="877" t="s">
        <v>281</v>
      </c>
      <c r="K212" s="36"/>
    </row>
    <row r="213" spans="1:30" s="119" customFormat="1" ht="12.75" thickBot="1">
      <c r="A213" s="884" t="s">
        <v>4</v>
      </c>
      <c r="B213" s="905" t="s">
        <v>318</v>
      </c>
      <c r="C213" s="1103">
        <f>+C214+C215</f>
        <v>-53772</v>
      </c>
      <c r="D213" s="28">
        <f>+D214+D215</f>
        <v>-40148</v>
      </c>
      <c r="E213" s="28">
        <f>+E214+E215</f>
        <v>-38079</v>
      </c>
      <c r="F213" s="1558">
        <f>IF(ISERROR(E213/D213),"-",E213/D213)</f>
        <v>0.94846567699511808</v>
      </c>
      <c r="G213" s="110">
        <f>+G214+G215</f>
        <v>-38079</v>
      </c>
      <c r="H213" s="111">
        <f>+H214+H215</f>
        <v>0</v>
      </c>
      <c r="I213" s="112">
        <f>+I214+I215</f>
        <v>0</v>
      </c>
      <c r="K213" s="3">
        <f>+E213-G213-H213-I213</f>
        <v>0</v>
      </c>
    </row>
    <row r="214" spans="1:30">
      <c r="A214" s="892" t="s">
        <v>81</v>
      </c>
      <c r="B214" s="931" t="s">
        <v>319</v>
      </c>
      <c r="C214" s="1104">
        <f>+C10-C109</f>
        <v>-42721</v>
      </c>
      <c r="D214" s="10">
        <f>+D10-D109</f>
        <v>-40148</v>
      </c>
      <c r="E214" s="10">
        <f>+E10-E109</f>
        <v>-38079</v>
      </c>
      <c r="F214" s="1560">
        <f>IF(ISERROR(E214/D214),"-",E214/D214)</f>
        <v>0.94846567699511808</v>
      </c>
      <c r="G214" s="114">
        <f>+G10-G109</f>
        <v>-38079</v>
      </c>
      <c r="H214" s="115">
        <f>+H10-H109</f>
        <v>0</v>
      </c>
      <c r="I214" s="116">
        <f>+I10-I109</f>
        <v>0</v>
      </c>
      <c r="K214" s="4">
        <f>+E214-G214-H214-I214</f>
        <v>0</v>
      </c>
    </row>
    <row r="215" spans="1:30" ht="12.75" thickBot="1">
      <c r="A215" s="932" t="s">
        <v>82</v>
      </c>
      <c r="B215" s="933" t="s">
        <v>320</v>
      </c>
      <c r="C215" s="1111">
        <f>+C50-C149</f>
        <v>-11051</v>
      </c>
      <c r="D215" s="17">
        <f>+D50-D149</f>
        <v>0</v>
      </c>
      <c r="E215" s="17">
        <f>+E50-E149</f>
        <v>0</v>
      </c>
      <c r="F215" s="1566" t="str">
        <f>IF(ISERROR(E215/D215),"-",E215/D215)</f>
        <v>-</v>
      </c>
      <c r="G215" s="934">
        <f>+G50-G149</f>
        <v>0</v>
      </c>
      <c r="H215" s="929">
        <f>+H50-H149</f>
        <v>0</v>
      </c>
      <c r="I215" s="930">
        <f>+I50-I149</f>
        <v>0</v>
      </c>
      <c r="K215" s="4">
        <f>+E215-G215-H215-I215</f>
        <v>0</v>
      </c>
    </row>
    <row r="218" spans="1:30" s="1" customFormat="1" ht="15.75">
      <c r="A218" s="1790" t="s">
        <v>90</v>
      </c>
      <c r="B218" s="1790"/>
      <c r="C218" s="1790"/>
      <c r="D218" s="1790"/>
      <c r="E218" s="1790"/>
      <c r="F218" s="1790"/>
      <c r="G218" s="1790"/>
      <c r="H218" s="1790"/>
      <c r="I218" s="1790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s="876" customFormat="1" ht="12.75" thickBot="1">
      <c r="A219" s="875" t="s">
        <v>283</v>
      </c>
      <c r="C219" s="36"/>
      <c r="D219" s="36"/>
      <c r="E219" s="36"/>
      <c r="F219" s="1548"/>
      <c r="I219" s="877" t="s">
        <v>281</v>
      </c>
      <c r="K219" s="36"/>
    </row>
    <row r="220" spans="1:30" s="119" customFormat="1" ht="12.75" thickBot="1">
      <c r="A220" s="884" t="s">
        <v>4</v>
      </c>
      <c r="B220" s="905" t="s">
        <v>321</v>
      </c>
      <c r="C220" s="1103">
        <f>+C221+C228</f>
        <v>53772</v>
      </c>
      <c r="D220" s="28">
        <f>+D221+D228</f>
        <v>40148</v>
      </c>
      <c r="E220" s="28">
        <f>+E221+E228</f>
        <v>38407</v>
      </c>
      <c r="F220" s="1558">
        <f t="shared" ref="F220:F234" si="10">IF(ISERROR(E220/D220),"-",E220/D220)</f>
        <v>0.95663544883929463</v>
      </c>
      <c r="G220" s="110">
        <f>+G221+G228</f>
        <v>38407</v>
      </c>
      <c r="H220" s="111">
        <f>+H221+H228</f>
        <v>0</v>
      </c>
      <c r="I220" s="112">
        <f>+I221+I228</f>
        <v>0</v>
      </c>
      <c r="K220" s="3">
        <f t="shared" ref="K220:K234" si="11">+E220-G220-H220-I220</f>
        <v>0</v>
      </c>
    </row>
    <row r="221" spans="1:30" s="119" customFormat="1" ht="12.75" thickBot="1">
      <c r="A221" s="884" t="s">
        <v>5</v>
      </c>
      <c r="B221" s="891" t="s">
        <v>322</v>
      </c>
      <c r="C221" s="1103">
        <f>+C222-C225</f>
        <v>42721</v>
      </c>
      <c r="D221" s="28">
        <f>+D222-D225</f>
        <v>40148</v>
      </c>
      <c r="E221" s="28">
        <f>+E222-E225</f>
        <v>38407</v>
      </c>
      <c r="F221" s="1558">
        <f t="shared" si="10"/>
        <v>0.95663544883929463</v>
      </c>
      <c r="G221" s="110">
        <f>+G222-G225</f>
        <v>38407</v>
      </c>
      <c r="H221" s="111">
        <f>+H222-H225</f>
        <v>0</v>
      </c>
      <c r="I221" s="112">
        <f>+I222-I225</f>
        <v>0</v>
      </c>
      <c r="K221" s="3">
        <f t="shared" si="11"/>
        <v>0</v>
      </c>
    </row>
    <row r="222" spans="1:30">
      <c r="A222" s="892" t="s">
        <v>54</v>
      </c>
      <c r="B222" s="113" t="s">
        <v>323</v>
      </c>
      <c r="C222" s="1104">
        <f>+C223+C224</f>
        <v>42721</v>
      </c>
      <c r="D222" s="10">
        <f>+D223+D224</f>
        <v>40148</v>
      </c>
      <c r="E222" s="10">
        <f>+E223+E224</f>
        <v>38407</v>
      </c>
      <c r="F222" s="1560">
        <f t="shared" si="10"/>
        <v>0.95663544883929463</v>
      </c>
      <c r="G222" s="114">
        <f>+G223+G224</f>
        <v>38407</v>
      </c>
      <c r="H222" s="115">
        <f>+H223+H224</f>
        <v>0</v>
      </c>
      <c r="I222" s="116">
        <f>+I223+I224</f>
        <v>0</v>
      </c>
      <c r="K222" s="4">
        <f t="shared" si="11"/>
        <v>0</v>
      </c>
    </row>
    <row r="223" spans="1:30" s="117" customFormat="1">
      <c r="A223" s="108" t="s">
        <v>190</v>
      </c>
      <c r="B223" s="109" t="s">
        <v>285</v>
      </c>
      <c r="C223" s="1105">
        <f>+C76+C80</f>
        <v>0</v>
      </c>
      <c r="D223" s="12">
        <f>+D76+D80</f>
        <v>654</v>
      </c>
      <c r="E223" s="12">
        <f>+E76+E80</f>
        <v>654</v>
      </c>
      <c r="F223" s="1562">
        <f t="shared" si="10"/>
        <v>1</v>
      </c>
      <c r="G223" s="656">
        <f>+G76+G80</f>
        <v>654</v>
      </c>
      <c r="H223" s="657">
        <f>+H76+H80</f>
        <v>0</v>
      </c>
      <c r="I223" s="658">
        <f>+I76+I80</f>
        <v>0</v>
      </c>
      <c r="K223" s="13">
        <f t="shared" si="11"/>
        <v>0</v>
      </c>
    </row>
    <row r="224" spans="1:30" s="117" customFormat="1">
      <c r="A224" s="108" t="s">
        <v>191</v>
      </c>
      <c r="B224" s="109" t="s">
        <v>286</v>
      </c>
      <c r="C224" s="1105">
        <f>+C74+C75+C77+C78+C79+C81</f>
        <v>42721</v>
      </c>
      <c r="D224" s="12">
        <f>+D74+D75+D77+D78+D79+D81</f>
        <v>39494</v>
      </c>
      <c r="E224" s="12">
        <f>+E74+E75+E77+E78+E79+E81</f>
        <v>37753</v>
      </c>
      <c r="F224" s="1562">
        <f t="shared" si="10"/>
        <v>0.95591735453486604</v>
      </c>
      <c r="G224" s="656">
        <f>+G74+G75+G77+G78+G79+G81</f>
        <v>37753</v>
      </c>
      <c r="H224" s="657">
        <f>+H74+H75+H77+H78+H79+H81</f>
        <v>0</v>
      </c>
      <c r="I224" s="658">
        <f>+I74+I75+I77+I78+I79+I81</f>
        <v>0</v>
      </c>
      <c r="K224" s="13">
        <f t="shared" si="11"/>
        <v>0</v>
      </c>
    </row>
    <row r="225" spans="1:30">
      <c r="A225" s="896" t="s">
        <v>55</v>
      </c>
      <c r="B225" s="897" t="s">
        <v>324</v>
      </c>
      <c r="C225" s="1106">
        <f>+C227</f>
        <v>0</v>
      </c>
      <c r="D225" s="11">
        <f>+D227</f>
        <v>0</v>
      </c>
      <c r="E225" s="11">
        <f>+E227</f>
        <v>0</v>
      </c>
      <c r="F225" s="1562" t="str">
        <f t="shared" si="10"/>
        <v>-</v>
      </c>
      <c r="G225" s="866">
        <f>+G227</f>
        <v>0</v>
      </c>
      <c r="H225" s="867">
        <f>+H227</f>
        <v>0</v>
      </c>
      <c r="I225" s="868">
        <f>+I227</f>
        <v>0</v>
      </c>
      <c r="K225" s="4">
        <f t="shared" si="11"/>
        <v>0</v>
      </c>
    </row>
    <row r="226" spans="1:30" s="117" customFormat="1">
      <c r="A226" s="108" t="s">
        <v>56</v>
      </c>
      <c r="B226" s="109" t="s">
        <v>287</v>
      </c>
      <c r="C226" s="1105">
        <f>+C185</f>
        <v>0</v>
      </c>
      <c r="D226" s="12">
        <f>+D185</f>
        <v>0</v>
      </c>
      <c r="E226" s="12">
        <f>+E185</f>
        <v>0</v>
      </c>
      <c r="F226" s="1562" t="str">
        <f t="shared" si="10"/>
        <v>-</v>
      </c>
      <c r="G226" s="656">
        <f>+G185</f>
        <v>0</v>
      </c>
      <c r="H226" s="657">
        <f>+H185</f>
        <v>0</v>
      </c>
      <c r="I226" s="658">
        <f>+I185</f>
        <v>0</v>
      </c>
      <c r="K226" s="13">
        <f t="shared" si="11"/>
        <v>0</v>
      </c>
    </row>
    <row r="227" spans="1:30" s="117" customFormat="1" ht="12.75" thickBot="1">
      <c r="A227" s="900" t="s">
        <v>57</v>
      </c>
      <c r="B227" s="922" t="s">
        <v>288</v>
      </c>
      <c r="C227" s="1108">
        <f>+C180+C181+C182+C183+C184+C186+C187</f>
        <v>0</v>
      </c>
      <c r="D227" s="43">
        <f>+D180+D181+D182+D183+D184+D186+D187</f>
        <v>0</v>
      </c>
      <c r="E227" s="43">
        <f>+E180+E181+E182+E183+E184+E186+E187</f>
        <v>0</v>
      </c>
      <c r="F227" s="1561" t="str">
        <f t="shared" si="10"/>
        <v>-</v>
      </c>
      <c r="G227" s="902">
        <f>+G180+G181+G182+G183+G184+G186+G187</f>
        <v>0</v>
      </c>
      <c r="H227" s="903">
        <f>+H180+H181+H182+H183+H184+H186+H187</f>
        <v>0</v>
      </c>
      <c r="I227" s="904">
        <f>+I180+I181+I182+I183+I184+I186+I187</f>
        <v>0</v>
      </c>
      <c r="K227" s="13">
        <f t="shared" si="11"/>
        <v>0</v>
      </c>
    </row>
    <row r="228" spans="1:30" s="119" customFormat="1" ht="12.75" thickBot="1">
      <c r="A228" s="884" t="s">
        <v>6</v>
      </c>
      <c r="B228" s="891" t="s">
        <v>325</v>
      </c>
      <c r="C228" s="1103">
        <f>+C229-C232</f>
        <v>11051</v>
      </c>
      <c r="D228" s="28">
        <f>+D229-D232</f>
        <v>0</v>
      </c>
      <c r="E228" s="28">
        <f>+E229-E232</f>
        <v>0</v>
      </c>
      <c r="F228" s="1558" t="str">
        <f t="shared" si="10"/>
        <v>-</v>
      </c>
      <c r="G228" s="110">
        <f>+G229-G232</f>
        <v>0</v>
      </c>
      <c r="H228" s="111">
        <f>+H229-H232</f>
        <v>0</v>
      </c>
      <c r="I228" s="112">
        <f>+I229-I232</f>
        <v>0</v>
      </c>
      <c r="K228" s="3">
        <f t="shared" si="11"/>
        <v>0</v>
      </c>
    </row>
    <row r="229" spans="1:30">
      <c r="A229" s="892" t="s">
        <v>58</v>
      </c>
      <c r="B229" s="113" t="s">
        <v>326</v>
      </c>
      <c r="C229" s="1104">
        <f>+C230+C231</f>
        <v>11051</v>
      </c>
      <c r="D229" s="10">
        <f>+D230+D231</f>
        <v>0</v>
      </c>
      <c r="E229" s="10">
        <f>+E230+E231</f>
        <v>0</v>
      </c>
      <c r="F229" s="1560" t="str">
        <f t="shared" si="10"/>
        <v>-</v>
      </c>
      <c r="G229" s="114">
        <f>+G230+G231</f>
        <v>0</v>
      </c>
      <c r="H229" s="115">
        <f>+H230+H231</f>
        <v>0</v>
      </c>
      <c r="I229" s="116">
        <f>+I230+I231</f>
        <v>0</v>
      </c>
      <c r="K229" s="4">
        <f t="shared" si="11"/>
        <v>0</v>
      </c>
    </row>
    <row r="230" spans="1:30" s="117" customFormat="1">
      <c r="A230" s="108" t="s">
        <v>293</v>
      </c>
      <c r="B230" s="109" t="s">
        <v>291</v>
      </c>
      <c r="C230" s="1105">
        <f>+C91+C95</f>
        <v>0</v>
      </c>
      <c r="D230" s="12">
        <f>+D91+D95</f>
        <v>0</v>
      </c>
      <c r="E230" s="12">
        <f>+E91+E95</f>
        <v>0</v>
      </c>
      <c r="F230" s="1562" t="str">
        <f t="shared" si="10"/>
        <v>-</v>
      </c>
      <c r="G230" s="656">
        <f>+G91+G95</f>
        <v>0</v>
      </c>
      <c r="H230" s="657">
        <f>+H91+H95</f>
        <v>0</v>
      </c>
      <c r="I230" s="658">
        <f>+I91+I95</f>
        <v>0</v>
      </c>
      <c r="K230" s="13">
        <f t="shared" si="11"/>
        <v>0</v>
      </c>
    </row>
    <row r="231" spans="1:30" s="117" customFormat="1">
      <c r="A231" s="108" t="s">
        <v>294</v>
      </c>
      <c r="B231" s="109" t="s">
        <v>292</v>
      </c>
      <c r="C231" s="1105">
        <f>+C89+C90+C92+C93+C94+C96</f>
        <v>11051</v>
      </c>
      <c r="D231" s="12">
        <f>+D89+D90+D92+D93+D94+D96</f>
        <v>0</v>
      </c>
      <c r="E231" s="12">
        <f>+E89+E90+E92+E93+E94+E96</f>
        <v>0</v>
      </c>
      <c r="F231" s="1562" t="str">
        <f t="shared" si="10"/>
        <v>-</v>
      </c>
      <c r="G231" s="656">
        <f>+G89+G90+G92+G93+G94+G96</f>
        <v>0</v>
      </c>
      <c r="H231" s="657">
        <f>+H89+H90+H92+H93+H94+H96</f>
        <v>0</v>
      </c>
      <c r="I231" s="658">
        <f>+I89+I90+I92+I93+I94+I96</f>
        <v>0</v>
      </c>
      <c r="K231" s="13">
        <f t="shared" si="11"/>
        <v>0</v>
      </c>
    </row>
    <row r="232" spans="1:30">
      <c r="A232" s="896" t="s">
        <v>59</v>
      </c>
      <c r="B232" s="897" t="s">
        <v>327</v>
      </c>
      <c r="C232" s="1106">
        <f>+C233+C234</f>
        <v>0</v>
      </c>
      <c r="D232" s="11">
        <f>+D233+D234</f>
        <v>0</v>
      </c>
      <c r="E232" s="11">
        <f>+E233+E234</f>
        <v>0</v>
      </c>
      <c r="F232" s="1562" t="str">
        <f t="shared" si="10"/>
        <v>-</v>
      </c>
      <c r="G232" s="866">
        <f>+G233+G234</f>
        <v>0</v>
      </c>
      <c r="H232" s="867">
        <f>+H233+H234</f>
        <v>0</v>
      </c>
      <c r="I232" s="868">
        <f>+I233+I234</f>
        <v>0</v>
      </c>
      <c r="K232" s="4">
        <f t="shared" si="11"/>
        <v>0</v>
      </c>
    </row>
    <row r="233" spans="1:30" s="117" customFormat="1">
      <c r="A233" s="108" t="s">
        <v>295</v>
      </c>
      <c r="B233" s="109" t="s">
        <v>289</v>
      </c>
      <c r="C233" s="1105">
        <f>+C200</f>
        <v>0</v>
      </c>
      <c r="D233" s="12">
        <f>+D200</f>
        <v>0</v>
      </c>
      <c r="E233" s="12">
        <f>+E200</f>
        <v>0</v>
      </c>
      <c r="F233" s="1562" t="str">
        <f t="shared" si="10"/>
        <v>-</v>
      </c>
      <c r="G233" s="656">
        <f>+G200</f>
        <v>0</v>
      </c>
      <c r="H233" s="657">
        <f>+H200</f>
        <v>0</v>
      </c>
      <c r="I233" s="658">
        <f>+I200</f>
        <v>0</v>
      </c>
      <c r="K233" s="13">
        <f t="shared" si="11"/>
        <v>0</v>
      </c>
    </row>
    <row r="234" spans="1:30" s="117" customFormat="1" ht="12.75" thickBot="1">
      <c r="A234" s="935" t="s">
        <v>296</v>
      </c>
      <c r="B234" s="936" t="s">
        <v>290</v>
      </c>
      <c r="C234" s="1112">
        <f>+C195+C196+C197+C198+C199+C201+C202</f>
        <v>0</v>
      </c>
      <c r="D234" s="41">
        <f>+D195+D196+D197+D198+D199+D201+D202</f>
        <v>0</v>
      </c>
      <c r="E234" s="41">
        <f>+E195+E196+E197+E198+E199+E201+E202</f>
        <v>0</v>
      </c>
      <c r="F234" s="1566" t="str">
        <f t="shared" si="10"/>
        <v>-</v>
      </c>
      <c r="G234" s="937">
        <f>+G195+G196+G197+G198+G199+G201+G202</f>
        <v>0</v>
      </c>
      <c r="H234" s="938">
        <f>+H195+H196+H197+H198+H199+H201+H202</f>
        <v>0</v>
      </c>
      <c r="I234" s="939">
        <f>+I195+I196+I197+I198+I199+I201+I202</f>
        <v>0</v>
      </c>
      <c r="K234" s="13">
        <f t="shared" si="11"/>
        <v>0</v>
      </c>
    </row>
    <row r="237" spans="1:30" s="1" customFormat="1" ht="15.75">
      <c r="A237" s="1790" t="s">
        <v>1307</v>
      </c>
      <c r="B237" s="1790"/>
      <c r="C237" s="1790"/>
      <c r="D237" s="1790"/>
      <c r="E237" s="1790"/>
      <c r="F237" s="1790"/>
      <c r="G237" s="1790"/>
      <c r="H237" s="1790"/>
      <c r="I237" s="179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876" customFormat="1" ht="12.75" thickBot="1">
      <c r="A238" s="875" t="s">
        <v>284</v>
      </c>
      <c r="C238" s="36"/>
      <c r="D238" s="36"/>
      <c r="E238" s="36"/>
      <c r="F238" s="1548"/>
      <c r="I238" s="877"/>
      <c r="K238" s="36"/>
    </row>
    <row r="239" spans="1:30" s="119" customFormat="1">
      <c r="A239" s="940" t="s">
        <v>4</v>
      </c>
      <c r="B239" s="941" t="s">
        <v>91</v>
      </c>
      <c r="C239" s="1113">
        <v>9</v>
      </c>
      <c r="D239" s="55">
        <v>9</v>
      </c>
      <c r="E239" s="55">
        <v>8</v>
      </c>
      <c r="F239" s="1559">
        <f>IF(ISERROR(E239/D239),"-",E239/D239)</f>
        <v>0.88888888888888884</v>
      </c>
      <c r="G239" s="942">
        <v>8</v>
      </c>
      <c r="H239" s="943"/>
      <c r="I239" s="944"/>
      <c r="K239" s="3">
        <f>+E239-G239-H239-I239</f>
        <v>0</v>
      </c>
    </row>
    <row r="240" spans="1:30" s="117" customFormat="1">
      <c r="A240" s="900" t="s">
        <v>351</v>
      </c>
      <c r="B240" s="945" t="s">
        <v>352</v>
      </c>
      <c r="C240" s="1114"/>
      <c r="D240" s="101"/>
      <c r="E240" s="101"/>
      <c r="F240" s="1561" t="str">
        <f>IF(ISERROR(E240/D240),"-",E240/D240)</f>
        <v>-</v>
      </c>
      <c r="G240" s="946"/>
      <c r="H240" s="947"/>
      <c r="I240" s="948"/>
      <c r="K240" s="13">
        <f>+E240-G240-H240-I240</f>
        <v>0</v>
      </c>
    </row>
    <row r="241" spans="1:11" s="119" customFormat="1" ht="12.75" thickBot="1">
      <c r="A241" s="949" t="s">
        <v>5</v>
      </c>
      <c r="B241" s="950" t="s">
        <v>92</v>
      </c>
      <c r="C241" s="1115"/>
      <c r="D241" s="58"/>
      <c r="E241" s="58"/>
      <c r="F241" s="1567" t="str">
        <f>IF(ISERROR(E241/D241),"-",E241/D241)</f>
        <v>-</v>
      </c>
      <c r="G241" s="951"/>
      <c r="H241" s="952"/>
      <c r="I241" s="953"/>
      <c r="K241" s="3">
        <f>+E241-G241-H241-I241</f>
        <v>0</v>
      </c>
    </row>
    <row r="242" spans="1:11" s="119" customFormat="1" ht="12.75" thickBot="1">
      <c r="A242" s="884" t="s">
        <v>6</v>
      </c>
      <c r="B242" s="905" t="s">
        <v>330</v>
      </c>
      <c r="C242" s="1116">
        <f>+C239+C241</f>
        <v>9</v>
      </c>
      <c r="D242" s="61">
        <f>+D239+D241</f>
        <v>9</v>
      </c>
      <c r="E242" s="61">
        <f>+E239+E241</f>
        <v>8</v>
      </c>
      <c r="F242" s="1558">
        <f>IF(ISERROR(E242/D242),"-",E242/D242)</f>
        <v>0.88888888888888884</v>
      </c>
      <c r="G242" s="954">
        <f>+G239+G241</f>
        <v>8</v>
      </c>
      <c r="H242" s="955">
        <f>+H239+H241</f>
        <v>0</v>
      </c>
      <c r="I242" s="956">
        <f>+I239+I241</f>
        <v>0</v>
      </c>
      <c r="K242" s="3">
        <f>+E242-G242-H242-I242</f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108:I108"/>
    <mergeCell ref="C9:I9"/>
  </mergeCells>
  <conditionalFormatting sqref="F26:F31 F89:F100 F65:F69 F59:F63 F52:F57 F45:F49 F33:F43 F13:F24 F195:F206 F180:F191 F166:F175 F151:F158 F147:F148 F133:F145 F124:F131 F117:F122 F111:F115 F160:F164 F74:F85">
    <cfRule type="cellIs" dxfId="6" priority="2" stopIfTrue="1" operator="equal">
      <formula>0</formula>
    </cfRule>
  </conditionalFormatting>
  <conditionalFormatting sqref="F65:F69 F59:F63 F52:F57 F45:F49 F33:F43 F13:F24 F195:F206 F180:F191 F166:F175 F160:F164 F151:F158 F147:F148 F133:F145 F124:F131 F117:F122 F111:F115 F26:F31 F89:F100 F74:F85">
    <cfRule type="cellIs" dxfId="5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1.4. melléklet - &amp;P. oldal</oddHeader>
  </headerFooter>
  <rowBreaks count="1" manualBreakCount="1">
    <brk id="10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0">
    <tabColor rgb="FF00B0F0"/>
  </sheetPr>
  <dimension ref="A1:AF242"/>
  <sheetViews>
    <sheetView zoomScaleNormal="100" workbookViewId="0"/>
  </sheetViews>
  <sheetFormatPr defaultRowHeight="12"/>
  <cols>
    <col min="1" max="1" width="6.5703125" style="118" customWidth="1"/>
    <col min="2" max="2" width="109.5703125" style="118" bestFit="1" customWidth="1"/>
    <col min="3" max="5" width="9.28515625" style="4" customWidth="1"/>
    <col min="6" max="6" width="9.28515625" style="1565" customWidth="1"/>
    <col min="7" max="9" width="9.28515625" style="118" customWidth="1"/>
    <col min="10" max="10" width="9.140625" style="118" customWidth="1"/>
    <col min="11" max="11" width="9.140625" style="4" hidden="1" customWidth="1"/>
    <col min="12" max="12" width="9.140625" style="118" customWidth="1"/>
    <col min="13" max="16384" width="9.140625" style="118"/>
  </cols>
  <sheetData>
    <row r="1" spans="1:11" s="872" customFormat="1" ht="15.75">
      <c r="C1" s="50"/>
      <c r="D1" s="50"/>
      <c r="E1" s="50"/>
      <c r="F1" s="1547"/>
      <c r="I1" s="873" t="s">
        <v>871</v>
      </c>
      <c r="K1" s="50"/>
    </row>
    <row r="2" spans="1:11" s="872" customFormat="1" ht="15.75">
      <c r="C2" s="50"/>
      <c r="D2" s="50"/>
      <c r="E2" s="50"/>
      <c r="F2" s="1547"/>
      <c r="K2" s="50"/>
    </row>
    <row r="3" spans="1:11" s="874" customFormat="1" ht="15.75">
      <c r="A3" s="1794" t="s">
        <v>863</v>
      </c>
      <c r="B3" s="1794"/>
      <c r="C3" s="1794"/>
      <c r="D3" s="1794"/>
      <c r="E3" s="1794"/>
      <c r="F3" s="1794"/>
      <c r="G3" s="1794"/>
      <c r="H3" s="1794"/>
      <c r="I3" s="1794"/>
      <c r="K3" s="52"/>
    </row>
    <row r="4" spans="1:11" s="874" customFormat="1" ht="15.75">
      <c r="A4" s="1794" t="s">
        <v>1308</v>
      </c>
      <c r="B4" s="1794"/>
      <c r="C4" s="1794"/>
      <c r="D4" s="1794"/>
      <c r="E4" s="1794"/>
      <c r="F4" s="1794"/>
      <c r="G4" s="1794"/>
      <c r="H4" s="1794"/>
      <c r="I4" s="1794"/>
      <c r="K4" s="52"/>
    </row>
    <row r="5" spans="1:11" s="872" customFormat="1" ht="15.75">
      <c r="C5" s="50"/>
      <c r="D5" s="50"/>
      <c r="E5" s="50"/>
      <c r="F5" s="1547"/>
      <c r="K5" s="50"/>
    </row>
    <row r="6" spans="1:11" s="874" customFormat="1" ht="15.75">
      <c r="A6" s="1794" t="s">
        <v>48</v>
      </c>
      <c r="B6" s="1794"/>
      <c r="C6" s="1794"/>
      <c r="D6" s="1794"/>
      <c r="E6" s="1794"/>
      <c r="F6" s="1794"/>
      <c r="G6" s="1794"/>
      <c r="H6" s="1794"/>
      <c r="I6" s="1794"/>
      <c r="K6" s="52"/>
    </row>
    <row r="7" spans="1:11" s="876" customFormat="1" ht="12.75" thickBot="1">
      <c r="A7" s="875" t="s">
        <v>280</v>
      </c>
      <c r="C7" s="36"/>
      <c r="D7" s="36"/>
      <c r="E7" s="36"/>
      <c r="F7" s="1548"/>
      <c r="I7" s="877" t="s">
        <v>281</v>
      </c>
      <c r="K7" s="36"/>
    </row>
    <row r="8" spans="1:11" s="883" customFormat="1" ht="54" customHeight="1" thickBot="1">
      <c r="A8" s="878" t="s">
        <v>17</v>
      </c>
      <c r="B8" s="879" t="s">
        <v>328</v>
      </c>
      <c r="C8" s="1570" t="s">
        <v>1553</v>
      </c>
      <c r="D8" s="1571" t="s">
        <v>1554</v>
      </c>
      <c r="E8" s="6" t="s">
        <v>2646</v>
      </c>
      <c r="F8" s="1549" t="s">
        <v>2645</v>
      </c>
      <c r="G8" s="5" t="s">
        <v>51</v>
      </c>
      <c r="H8" s="6" t="s">
        <v>52</v>
      </c>
      <c r="I8" s="7" t="s">
        <v>53</v>
      </c>
      <c r="K8" s="8"/>
    </row>
    <row r="9" spans="1:11" s="119" customFormat="1" ht="13.5" customHeight="1" thickBot="1">
      <c r="A9" s="884" t="s">
        <v>253</v>
      </c>
      <c r="B9" s="885" t="s">
        <v>254</v>
      </c>
      <c r="C9" s="1795" t="s">
        <v>255</v>
      </c>
      <c r="D9" s="1796"/>
      <c r="E9" s="1796"/>
      <c r="F9" s="1796"/>
      <c r="G9" s="1796"/>
      <c r="H9" s="1796"/>
      <c r="I9" s="1797"/>
      <c r="K9" s="3"/>
    </row>
    <row r="10" spans="1:11" s="119" customFormat="1" ht="12.75" thickBot="1">
      <c r="A10" s="886" t="s">
        <v>4</v>
      </c>
      <c r="B10" s="887" t="s">
        <v>297</v>
      </c>
      <c r="C10" s="1102">
        <f>+C11+C25+C32+C44</f>
        <v>15810</v>
      </c>
      <c r="D10" s="133">
        <f>+D11+D25+D32+D44</f>
        <v>0</v>
      </c>
      <c r="E10" s="133">
        <f>+E11+E25+E32+E44</f>
        <v>0</v>
      </c>
      <c r="F10" s="1550" t="str">
        <f t="shared" ref="F10:F73" si="0">IF(ISERROR(E10/D10),"-",E10/D10)</f>
        <v>-</v>
      </c>
      <c r="G10" s="888">
        <f>+G11+G25+G32+G44</f>
        <v>0</v>
      </c>
      <c r="H10" s="889">
        <f>+H11+H25+H32+H44</f>
        <v>0</v>
      </c>
      <c r="I10" s="890">
        <f>+I11+I25+I32+I44</f>
        <v>0</v>
      </c>
      <c r="K10" s="3">
        <f t="shared" ref="K10:K73" si="1">+E10-G10-H10-I10</f>
        <v>0</v>
      </c>
    </row>
    <row r="11" spans="1:11" s="119" customFormat="1" ht="12.75" customHeight="1" thickBot="1">
      <c r="A11" s="884" t="s">
        <v>5</v>
      </c>
      <c r="B11" s="891" t="s">
        <v>298</v>
      </c>
      <c r="C11" s="1103">
        <f>+C12+C19+C20+C21+C22+C23</f>
        <v>3240</v>
      </c>
      <c r="D11" s="28">
        <f>+D12+D19+D20+D21+D22+D23</f>
        <v>0</v>
      </c>
      <c r="E11" s="28">
        <f>+E12+E19+E20+E21+E22+E23</f>
        <v>0</v>
      </c>
      <c r="F11" s="1551" t="str">
        <f t="shared" si="0"/>
        <v>-</v>
      </c>
      <c r="G11" s="110">
        <f>+G12+G19+G20+G21+G22+G23</f>
        <v>0</v>
      </c>
      <c r="H11" s="111">
        <f>+H12+H19+H20+H21+H22+H23</f>
        <v>0</v>
      </c>
      <c r="I11" s="112">
        <f>+I12+I19+I20+I21+I22+I23</f>
        <v>0</v>
      </c>
      <c r="K11" s="3">
        <f t="shared" si="1"/>
        <v>0</v>
      </c>
    </row>
    <row r="12" spans="1:11" s="119" customFormat="1">
      <c r="A12" s="892" t="s">
        <v>54</v>
      </c>
      <c r="B12" s="113" t="s">
        <v>299</v>
      </c>
      <c r="C12" s="1104">
        <f>+C13+C14+C15+C16+C17+C18</f>
        <v>0</v>
      </c>
      <c r="D12" s="10">
        <f>+D13+D14+D15+D16+D17+D18</f>
        <v>0</v>
      </c>
      <c r="E12" s="10">
        <f>+E13+E14+E15+E16+E17+E18</f>
        <v>0</v>
      </c>
      <c r="F12" s="1552" t="str">
        <f t="shared" si="0"/>
        <v>-</v>
      </c>
      <c r="G12" s="893">
        <f>+G13+G14+G15+G16+G17+G18</f>
        <v>0</v>
      </c>
      <c r="H12" s="894">
        <f>+H13+H14+H15+H16+H17+H18</f>
        <v>0</v>
      </c>
      <c r="I12" s="895">
        <f>+I13+I14+I15+I16+I17+I18</f>
        <v>0</v>
      </c>
      <c r="K12" s="4">
        <f t="shared" si="1"/>
        <v>0</v>
      </c>
    </row>
    <row r="13" spans="1:11" s="117" customFormat="1">
      <c r="A13" s="108" t="s">
        <v>190</v>
      </c>
      <c r="B13" s="109" t="s">
        <v>93</v>
      </c>
      <c r="C13" s="1105"/>
      <c r="D13" s="12"/>
      <c r="E13" s="12"/>
      <c r="F13" s="1553" t="str">
        <f t="shared" si="0"/>
        <v>-</v>
      </c>
      <c r="G13" s="656"/>
      <c r="H13" s="657"/>
      <c r="I13" s="658"/>
      <c r="K13" s="13">
        <f t="shared" si="1"/>
        <v>0</v>
      </c>
    </row>
    <row r="14" spans="1:11" s="117" customFormat="1">
      <c r="A14" s="108" t="s">
        <v>191</v>
      </c>
      <c r="B14" s="109" t="s">
        <v>94</v>
      </c>
      <c r="C14" s="1105"/>
      <c r="D14" s="12"/>
      <c r="E14" s="12"/>
      <c r="F14" s="1553" t="str">
        <f t="shared" si="0"/>
        <v>-</v>
      </c>
      <c r="G14" s="656"/>
      <c r="H14" s="657"/>
      <c r="I14" s="658"/>
      <c r="K14" s="13">
        <f t="shared" si="1"/>
        <v>0</v>
      </c>
    </row>
    <row r="15" spans="1:11" s="117" customFormat="1">
      <c r="A15" s="108" t="s">
        <v>192</v>
      </c>
      <c r="B15" s="109" t="s">
        <v>95</v>
      </c>
      <c r="C15" s="1105"/>
      <c r="D15" s="12"/>
      <c r="E15" s="12"/>
      <c r="F15" s="1553" t="str">
        <f t="shared" si="0"/>
        <v>-</v>
      </c>
      <c r="G15" s="656"/>
      <c r="H15" s="657"/>
      <c r="I15" s="658"/>
      <c r="K15" s="13">
        <f t="shared" si="1"/>
        <v>0</v>
      </c>
    </row>
    <row r="16" spans="1:11" s="117" customFormat="1">
      <c r="A16" s="108" t="s">
        <v>193</v>
      </c>
      <c r="B16" s="109" t="s">
        <v>96</v>
      </c>
      <c r="C16" s="1105"/>
      <c r="D16" s="12"/>
      <c r="E16" s="12"/>
      <c r="F16" s="1553" t="str">
        <f t="shared" si="0"/>
        <v>-</v>
      </c>
      <c r="G16" s="656"/>
      <c r="H16" s="657"/>
      <c r="I16" s="658"/>
      <c r="K16" s="13">
        <f t="shared" si="1"/>
        <v>0</v>
      </c>
    </row>
    <row r="17" spans="1:11" s="117" customFormat="1">
      <c r="A17" s="108" t="s">
        <v>194</v>
      </c>
      <c r="B17" s="109" t="s">
        <v>899</v>
      </c>
      <c r="C17" s="1105"/>
      <c r="D17" s="12"/>
      <c r="E17" s="12"/>
      <c r="F17" s="1554" t="str">
        <f t="shared" si="0"/>
        <v>-</v>
      </c>
      <c r="G17" s="656"/>
      <c r="H17" s="657"/>
      <c r="I17" s="658"/>
      <c r="K17" s="13">
        <f t="shared" si="1"/>
        <v>0</v>
      </c>
    </row>
    <row r="18" spans="1:11" s="117" customFormat="1">
      <c r="A18" s="108" t="s">
        <v>195</v>
      </c>
      <c r="B18" s="109" t="s">
        <v>900</v>
      </c>
      <c r="C18" s="1105"/>
      <c r="D18" s="12"/>
      <c r="E18" s="12"/>
      <c r="F18" s="1554" t="str">
        <f t="shared" si="0"/>
        <v>-</v>
      </c>
      <c r="G18" s="656"/>
      <c r="H18" s="657"/>
      <c r="I18" s="658"/>
      <c r="K18" s="13">
        <f t="shared" si="1"/>
        <v>0</v>
      </c>
    </row>
    <row r="19" spans="1:11">
      <c r="A19" s="896" t="s">
        <v>55</v>
      </c>
      <c r="B19" s="897" t="s">
        <v>97</v>
      </c>
      <c r="C19" s="1106"/>
      <c r="D19" s="11"/>
      <c r="E19" s="11"/>
      <c r="F19" s="1553" t="str">
        <f t="shared" si="0"/>
        <v>-</v>
      </c>
      <c r="G19" s="866"/>
      <c r="H19" s="867"/>
      <c r="I19" s="868"/>
      <c r="K19" s="4">
        <f t="shared" si="1"/>
        <v>0</v>
      </c>
    </row>
    <row r="20" spans="1:11">
      <c r="A20" s="896" t="s">
        <v>83</v>
      </c>
      <c r="B20" s="897" t="s">
        <v>98</v>
      </c>
      <c r="C20" s="1106"/>
      <c r="D20" s="11"/>
      <c r="E20" s="11"/>
      <c r="F20" s="1553" t="str">
        <f t="shared" si="0"/>
        <v>-</v>
      </c>
      <c r="G20" s="866"/>
      <c r="H20" s="867"/>
      <c r="I20" s="868"/>
      <c r="K20" s="4">
        <f t="shared" si="1"/>
        <v>0</v>
      </c>
    </row>
    <row r="21" spans="1:11">
      <c r="A21" s="896" t="s">
        <v>84</v>
      </c>
      <c r="B21" s="897" t="s">
        <v>99</v>
      </c>
      <c r="C21" s="1106"/>
      <c r="D21" s="11"/>
      <c r="E21" s="11"/>
      <c r="F21" s="1553" t="str">
        <f t="shared" si="0"/>
        <v>-</v>
      </c>
      <c r="G21" s="866"/>
      <c r="H21" s="867"/>
      <c r="I21" s="868"/>
      <c r="K21" s="4">
        <f t="shared" si="1"/>
        <v>0</v>
      </c>
    </row>
    <row r="22" spans="1:11">
      <c r="A22" s="896" t="s">
        <v>85</v>
      </c>
      <c r="B22" s="897" t="s">
        <v>100</v>
      </c>
      <c r="C22" s="1106"/>
      <c r="D22" s="11"/>
      <c r="E22" s="11"/>
      <c r="F22" s="1553" t="str">
        <f t="shared" si="0"/>
        <v>-</v>
      </c>
      <c r="G22" s="866"/>
      <c r="H22" s="867"/>
      <c r="I22" s="868"/>
      <c r="K22" s="4">
        <f t="shared" si="1"/>
        <v>0</v>
      </c>
    </row>
    <row r="23" spans="1:11">
      <c r="A23" s="898" t="s">
        <v>86</v>
      </c>
      <c r="B23" s="899" t="s">
        <v>101</v>
      </c>
      <c r="C23" s="1107">
        <v>3240</v>
      </c>
      <c r="D23" s="22">
        <v>0</v>
      </c>
      <c r="E23" s="22"/>
      <c r="F23" s="1555" t="str">
        <f t="shared" si="0"/>
        <v>-</v>
      </c>
      <c r="G23" s="869"/>
      <c r="H23" s="870"/>
      <c r="I23" s="871"/>
      <c r="K23" s="4">
        <f t="shared" si="1"/>
        <v>0</v>
      </c>
    </row>
    <row r="24" spans="1:11" s="117" customFormat="1" ht="12.75" thickBot="1">
      <c r="A24" s="900" t="s">
        <v>332</v>
      </c>
      <c r="B24" s="901" t="s">
        <v>333</v>
      </c>
      <c r="C24" s="1108"/>
      <c r="D24" s="43"/>
      <c r="E24" s="43"/>
      <c r="F24" s="1555" t="str">
        <f t="shared" si="0"/>
        <v>-</v>
      </c>
      <c r="G24" s="902"/>
      <c r="H24" s="903"/>
      <c r="I24" s="904"/>
      <c r="K24" s="13">
        <f t="shared" si="1"/>
        <v>0</v>
      </c>
    </row>
    <row r="25" spans="1:11" s="119" customFormat="1" ht="12.75" customHeight="1" thickBot="1">
      <c r="A25" s="884" t="s">
        <v>6</v>
      </c>
      <c r="B25" s="891" t="s">
        <v>785</v>
      </c>
      <c r="C25" s="1103">
        <f>+C26+C27+C28+C29+C30+C31</f>
        <v>12570</v>
      </c>
      <c r="D25" s="28">
        <f>+D26+D27+D28+D29+D30+D31</f>
        <v>0</v>
      </c>
      <c r="E25" s="28">
        <f>+E26+E27+E28+E29+E30+E31</f>
        <v>0</v>
      </c>
      <c r="F25" s="1551" t="str">
        <f t="shared" si="0"/>
        <v>-</v>
      </c>
      <c r="G25" s="110">
        <f>+G26+G27+G28+G29+G30+G31</f>
        <v>0</v>
      </c>
      <c r="H25" s="111">
        <f>+H26+H27+H28+H29+H30+H31</f>
        <v>0</v>
      </c>
      <c r="I25" s="112">
        <f>+I26+I27+I28+I29+I30+I31</f>
        <v>0</v>
      </c>
      <c r="K25" s="3">
        <f t="shared" si="1"/>
        <v>0</v>
      </c>
    </row>
    <row r="26" spans="1:11" ht="12.75" customHeight="1">
      <c r="A26" s="892" t="s">
        <v>58</v>
      </c>
      <c r="B26" s="113" t="s">
        <v>102</v>
      </c>
      <c r="C26" s="1104"/>
      <c r="D26" s="10"/>
      <c r="E26" s="10"/>
      <c r="F26" s="1552" t="str">
        <f t="shared" si="0"/>
        <v>-</v>
      </c>
      <c r="G26" s="114"/>
      <c r="H26" s="115"/>
      <c r="I26" s="116"/>
      <c r="K26" s="4">
        <f t="shared" si="1"/>
        <v>0</v>
      </c>
    </row>
    <row r="27" spans="1:11" ht="12.75" customHeight="1">
      <c r="A27" s="896" t="s">
        <v>59</v>
      </c>
      <c r="B27" s="897" t="s">
        <v>103</v>
      </c>
      <c r="C27" s="1106"/>
      <c r="D27" s="11"/>
      <c r="E27" s="11"/>
      <c r="F27" s="1553" t="str">
        <f t="shared" si="0"/>
        <v>-</v>
      </c>
      <c r="G27" s="866"/>
      <c r="H27" s="867"/>
      <c r="I27" s="868"/>
      <c r="K27" s="4">
        <f t="shared" si="1"/>
        <v>0</v>
      </c>
    </row>
    <row r="28" spans="1:11" ht="12.75" customHeight="1">
      <c r="A28" s="896" t="s">
        <v>60</v>
      </c>
      <c r="B28" s="897" t="s">
        <v>104</v>
      </c>
      <c r="C28" s="1106"/>
      <c r="D28" s="11"/>
      <c r="E28" s="11"/>
      <c r="F28" s="1553" t="str">
        <f t="shared" si="0"/>
        <v>-</v>
      </c>
      <c r="G28" s="866"/>
      <c r="H28" s="867"/>
      <c r="I28" s="868"/>
      <c r="K28" s="4">
        <f t="shared" si="1"/>
        <v>0</v>
      </c>
    </row>
    <row r="29" spans="1:11" ht="12.75" customHeight="1">
      <c r="A29" s="896" t="s">
        <v>180</v>
      </c>
      <c r="B29" s="897" t="s">
        <v>105</v>
      </c>
      <c r="C29" s="1106"/>
      <c r="D29" s="11"/>
      <c r="E29" s="11"/>
      <c r="F29" s="1553" t="str">
        <f t="shared" si="0"/>
        <v>-</v>
      </c>
      <c r="G29" s="866"/>
      <c r="H29" s="867"/>
      <c r="I29" s="868"/>
      <c r="K29" s="4">
        <f t="shared" si="1"/>
        <v>0</v>
      </c>
    </row>
    <row r="30" spans="1:11" ht="12.75" customHeight="1">
      <c r="A30" s="898" t="s">
        <v>181</v>
      </c>
      <c r="B30" s="899" t="s">
        <v>106</v>
      </c>
      <c r="C30" s="1107"/>
      <c r="D30" s="22"/>
      <c r="E30" s="22"/>
      <c r="F30" s="1555" t="str">
        <f t="shared" si="0"/>
        <v>-</v>
      </c>
      <c r="G30" s="866"/>
      <c r="H30" s="867"/>
      <c r="I30" s="868"/>
      <c r="K30" s="4">
        <f t="shared" si="1"/>
        <v>0</v>
      </c>
    </row>
    <row r="31" spans="1:11" ht="12.75" customHeight="1" thickBot="1">
      <c r="A31" s="898" t="s">
        <v>784</v>
      </c>
      <c r="B31" s="899" t="s">
        <v>786</v>
      </c>
      <c r="C31" s="1107">
        <v>12570</v>
      </c>
      <c r="D31" s="22">
        <v>0</v>
      </c>
      <c r="E31" s="22"/>
      <c r="F31" s="1555" t="str">
        <f t="shared" si="0"/>
        <v>-</v>
      </c>
      <c r="G31" s="866"/>
      <c r="H31" s="867"/>
      <c r="I31" s="868"/>
      <c r="K31" s="4">
        <f t="shared" si="1"/>
        <v>0</v>
      </c>
    </row>
    <row r="32" spans="1:11" s="119" customFormat="1" ht="12.75" customHeight="1" thickBot="1">
      <c r="A32" s="884" t="s">
        <v>3</v>
      </c>
      <c r="B32" s="891" t="s">
        <v>975</v>
      </c>
      <c r="C32" s="1103">
        <f>+C33+C34+C35+C36+C37+C38+C39+C40+C41+C42+C43</f>
        <v>0</v>
      </c>
      <c r="D32" s="28">
        <f>+D33+D34+D35+D36+D37+D38+D39+D40+D41+D42+D43</f>
        <v>0</v>
      </c>
      <c r="E32" s="28">
        <f>+E33+E34+E35+E36+E37+E38+E39+E40+E41+E42+E43</f>
        <v>0</v>
      </c>
      <c r="F32" s="1551" t="str">
        <f t="shared" si="0"/>
        <v>-</v>
      </c>
      <c r="G32" s="110">
        <f>+G33+G34+G35+G36+G37+G38+G39+G40+G41+G42+G43</f>
        <v>0</v>
      </c>
      <c r="H32" s="111">
        <f>+H33+H34+H35+H36+H37+H38+H39+H40+H41+H42+H43</f>
        <v>0</v>
      </c>
      <c r="I32" s="112">
        <f>+I33+I34+I35+I36+I37+I38+I39+I40+I41+I42+I43</f>
        <v>0</v>
      </c>
      <c r="K32" s="3">
        <f t="shared" si="1"/>
        <v>0</v>
      </c>
    </row>
    <row r="33" spans="1:11" ht="12.75" customHeight="1">
      <c r="A33" s="892" t="s">
        <v>61</v>
      </c>
      <c r="B33" s="113" t="s">
        <v>107</v>
      </c>
      <c r="C33" s="1104"/>
      <c r="D33" s="10"/>
      <c r="E33" s="10"/>
      <c r="F33" s="1552" t="str">
        <f t="shared" si="0"/>
        <v>-</v>
      </c>
      <c r="G33" s="114"/>
      <c r="H33" s="115"/>
      <c r="I33" s="116"/>
      <c r="K33" s="4">
        <f t="shared" si="1"/>
        <v>0</v>
      </c>
    </row>
    <row r="34" spans="1:11" ht="12.75" customHeight="1">
      <c r="A34" s="896" t="s">
        <v>62</v>
      </c>
      <c r="B34" s="897" t="s">
        <v>108</v>
      </c>
      <c r="C34" s="1106"/>
      <c r="D34" s="11"/>
      <c r="E34" s="11"/>
      <c r="F34" s="1553" t="str">
        <f t="shared" si="0"/>
        <v>-</v>
      </c>
      <c r="G34" s="866"/>
      <c r="H34" s="867"/>
      <c r="I34" s="868"/>
      <c r="K34" s="4">
        <f t="shared" si="1"/>
        <v>0</v>
      </c>
    </row>
    <row r="35" spans="1:11" ht="12.75" customHeight="1">
      <c r="A35" s="896" t="s">
        <v>63</v>
      </c>
      <c r="B35" s="897" t="s">
        <v>109</v>
      </c>
      <c r="C35" s="1106"/>
      <c r="D35" s="11"/>
      <c r="E35" s="11"/>
      <c r="F35" s="1553" t="str">
        <f t="shared" si="0"/>
        <v>-</v>
      </c>
      <c r="G35" s="866"/>
      <c r="H35" s="867"/>
      <c r="I35" s="868"/>
      <c r="K35" s="4">
        <f t="shared" si="1"/>
        <v>0</v>
      </c>
    </row>
    <row r="36" spans="1:11" ht="12.75" customHeight="1">
      <c r="A36" s="896" t="s">
        <v>64</v>
      </c>
      <c r="B36" s="897" t="s">
        <v>110</v>
      </c>
      <c r="C36" s="1106"/>
      <c r="D36" s="11"/>
      <c r="E36" s="11"/>
      <c r="F36" s="1553" t="str">
        <f t="shared" si="0"/>
        <v>-</v>
      </c>
      <c r="G36" s="866"/>
      <c r="H36" s="867"/>
      <c r="I36" s="868"/>
      <c r="K36" s="4">
        <f t="shared" si="1"/>
        <v>0</v>
      </c>
    </row>
    <row r="37" spans="1:11" ht="12.75" customHeight="1">
      <c r="A37" s="896" t="s">
        <v>65</v>
      </c>
      <c r="B37" s="897" t="s">
        <v>111</v>
      </c>
      <c r="C37" s="1106"/>
      <c r="D37" s="11"/>
      <c r="E37" s="11"/>
      <c r="F37" s="1553" t="str">
        <f t="shared" si="0"/>
        <v>-</v>
      </c>
      <c r="G37" s="866"/>
      <c r="H37" s="867"/>
      <c r="I37" s="868"/>
      <c r="K37" s="4">
        <f t="shared" si="1"/>
        <v>0</v>
      </c>
    </row>
    <row r="38" spans="1:11" ht="12.75" customHeight="1">
      <c r="A38" s="896" t="s">
        <v>222</v>
      </c>
      <c r="B38" s="897" t="s">
        <v>112</v>
      </c>
      <c r="C38" s="1106"/>
      <c r="D38" s="11"/>
      <c r="E38" s="11"/>
      <c r="F38" s="1553" t="str">
        <f t="shared" si="0"/>
        <v>-</v>
      </c>
      <c r="G38" s="866"/>
      <c r="H38" s="867"/>
      <c r="I38" s="868"/>
      <c r="K38" s="4">
        <f t="shared" si="1"/>
        <v>0</v>
      </c>
    </row>
    <row r="39" spans="1:11" ht="12.75" customHeight="1">
      <c r="A39" s="896" t="s">
        <v>223</v>
      </c>
      <c r="B39" s="897" t="s">
        <v>113</v>
      </c>
      <c r="C39" s="1106"/>
      <c r="D39" s="11"/>
      <c r="E39" s="11"/>
      <c r="F39" s="1553" t="str">
        <f t="shared" si="0"/>
        <v>-</v>
      </c>
      <c r="G39" s="866"/>
      <c r="H39" s="867"/>
      <c r="I39" s="868"/>
      <c r="K39" s="4">
        <f t="shared" si="1"/>
        <v>0</v>
      </c>
    </row>
    <row r="40" spans="1:11" ht="12.75" customHeight="1">
      <c r="A40" s="896" t="s">
        <v>224</v>
      </c>
      <c r="B40" s="897" t="s">
        <v>985</v>
      </c>
      <c r="C40" s="1106"/>
      <c r="D40" s="11"/>
      <c r="E40" s="11"/>
      <c r="F40" s="1553" t="str">
        <f t="shared" si="0"/>
        <v>-</v>
      </c>
      <c r="G40" s="866"/>
      <c r="H40" s="867"/>
      <c r="I40" s="868"/>
      <c r="K40" s="4">
        <f t="shared" si="1"/>
        <v>0</v>
      </c>
    </row>
    <row r="41" spans="1:11" ht="12.75" customHeight="1">
      <c r="A41" s="896" t="s">
        <v>225</v>
      </c>
      <c r="B41" s="897" t="s">
        <v>114</v>
      </c>
      <c r="C41" s="1106"/>
      <c r="D41" s="11"/>
      <c r="E41" s="11"/>
      <c r="F41" s="1553" t="str">
        <f t="shared" si="0"/>
        <v>-</v>
      </c>
      <c r="G41" s="866"/>
      <c r="H41" s="867"/>
      <c r="I41" s="868"/>
      <c r="K41" s="4">
        <f t="shared" si="1"/>
        <v>0</v>
      </c>
    </row>
    <row r="42" spans="1:11" ht="12.75" customHeight="1">
      <c r="A42" s="898" t="s">
        <v>226</v>
      </c>
      <c r="B42" s="899" t="s">
        <v>902</v>
      </c>
      <c r="C42" s="1106"/>
      <c r="D42" s="11"/>
      <c r="E42" s="11"/>
      <c r="F42" s="1553" t="str">
        <f t="shared" si="0"/>
        <v>-</v>
      </c>
      <c r="G42" s="866"/>
      <c r="H42" s="867"/>
      <c r="I42" s="868"/>
      <c r="K42" s="4">
        <f t="shared" si="1"/>
        <v>0</v>
      </c>
    </row>
    <row r="43" spans="1:11" ht="12.75" customHeight="1" thickBot="1">
      <c r="A43" s="898" t="s">
        <v>901</v>
      </c>
      <c r="B43" s="899" t="s">
        <v>903</v>
      </c>
      <c r="C43" s="1107"/>
      <c r="D43" s="22"/>
      <c r="E43" s="22"/>
      <c r="F43" s="1555" t="str">
        <f t="shared" si="0"/>
        <v>-</v>
      </c>
      <c r="G43" s="869"/>
      <c r="H43" s="870"/>
      <c r="I43" s="871"/>
      <c r="K43" s="4">
        <f t="shared" si="1"/>
        <v>0</v>
      </c>
    </row>
    <row r="44" spans="1:11" s="119" customFormat="1" ht="12.75" thickBot="1">
      <c r="A44" s="884" t="s">
        <v>16</v>
      </c>
      <c r="B44" s="891" t="s">
        <v>976</v>
      </c>
      <c r="C44" s="1103">
        <f>+C45+C46+C47+C48+C49</f>
        <v>0</v>
      </c>
      <c r="D44" s="28">
        <f>+D45+D46+D47+D48+D49</f>
        <v>0</v>
      </c>
      <c r="E44" s="28">
        <f>+E45+E46+E47+E48+E49</f>
        <v>0</v>
      </c>
      <c r="F44" s="1551" t="str">
        <f t="shared" si="0"/>
        <v>-</v>
      </c>
      <c r="G44" s="110">
        <f>+G45+G46+G47+G48+G49</f>
        <v>0</v>
      </c>
      <c r="H44" s="111">
        <f>+H45+H46+H47+H48+H49</f>
        <v>0</v>
      </c>
      <c r="I44" s="112">
        <f>+I45+I46+I47+I48+I49</f>
        <v>0</v>
      </c>
      <c r="K44" s="3">
        <f t="shared" si="1"/>
        <v>0</v>
      </c>
    </row>
    <row r="45" spans="1:11" ht="12.75" customHeight="1">
      <c r="A45" s="892" t="s">
        <v>227</v>
      </c>
      <c r="B45" s="113" t="s">
        <v>115</v>
      </c>
      <c r="C45" s="1104"/>
      <c r="D45" s="10"/>
      <c r="E45" s="10"/>
      <c r="F45" s="1552" t="str">
        <f t="shared" si="0"/>
        <v>-</v>
      </c>
      <c r="G45" s="114"/>
      <c r="H45" s="115"/>
      <c r="I45" s="116"/>
      <c r="K45" s="4">
        <f t="shared" si="1"/>
        <v>0</v>
      </c>
    </row>
    <row r="46" spans="1:11" ht="12.75" customHeight="1">
      <c r="A46" s="892" t="s">
        <v>228</v>
      </c>
      <c r="B46" s="113" t="s">
        <v>904</v>
      </c>
      <c r="C46" s="1104"/>
      <c r="D46" s="10"/>
      <c r="E46" s="10"/>
      <c r="F46" s="1552" t="str">
        <f t="shared" si="0"/>
        <v>-</v>
      </c>
      <c r="G46" s="114"/>
      <c r="H46" s="115"/>
      <c r="I46" s="116"/>
      <c r="K46" s="4">
        <f t="shared" si="1"/>
        <v>0</v>
      </c>
    </row>
    <row r="47" spans="1:11" ht="12.75" customHeight="1">
      <c r="A47" s="892" t="s">
        <v>229</v>
      </c>
      <c r="B47" s="113" t="s">
        <v>905</v>
      </c>
      <c r="C47" s="1104"/>
      <c r="D47" s="10"/>
      <c r="E47" s="10"/>
      <c r="F47" s="1552" t="str">
        <f t="shared" si="0"/>
        <v>-</v>
      </c>
      <c r="G47" s="114"/>
      <c r="H47" s="115"/>
      <c r="I47" s="116"/>
      <c r="K47" s="4">
        <f t="shared" si="1"/>
        <v>0</v>
      </c>
    </row>
    <row r="48" spans="1:11" ht="12.75" customHeight="1">
      <c r="A48" s="896" t="s">
        <v>257</v>
      </c>
      <c r="B48" s="897" t="s">
        <v>906</v>
      </c>
      <c r="C48" s="1106"/>
      <c r="D48" s="11"/>
      <c r="E48" s="11"/>
      <c r="F48" s="1553" t="str">
        <f t="shared" si="0"/>
        <v>-</v>
      </c>
      <c r="G48" s="866"/>
      <c r="H48" s="867"/>
      <c r="I48" s="868"/>
      <c r="K48" s="4">
        <f t="shared" si="1"/>
        <v>0</v>
      </c>
    </row>
    <row r="49" spans="1:11" ht="12.75" customHeight="1" thickBot="1">
      <c r="A49" s="898" t="s">
        <v>258</v>
      </c>
      <c r="B49" s="899" t="s">
        <v>907</v>
      </c>
      <c r="C49" s="1107"/>
      <c r="D49" s="22"/>
      <c r="E49" s="22"/>
      <c r="F49" s="1555" t="str">
        <f t="shared" si="0"/>
        <v>-</v>
      </c>
      <c r="G49" s="869"/>
      <c r="H49" s="870"/>
      <c r="I49" s="871"/>
      <c r="K49" s="4">
        <f t="shared" si="1"/>
        <v>0</v>
      </c>
    </row>
    <row r="50" spans="1:11" s="119" customFormat="1" ht="12.75" thickBot="1">
      <c r="A50" s="884" t="s">
        <v>15</v>
      </c>
      <c r="B50" s="905" t="s">
        <v>300</v>
      </c>
      <c r="C50" s="1103">
        <f>+C51+C58+C64</f>
        <v>0</v>
      </c>
      <c r="D50" s="28">
        <f>+D51+D58+D64</f>
        <v>0</v>
      </c>
      <c r="E50" s="28">
        <f>+E51+E58+E64</f>
        <v>0</v>
      </c>
      <c r="F50" s="1551" t="str">
        <f t="shared" si="0"/>
        <v>-</v>
      </c>
      <c r="G50" s="110">
        <f>+G51+G58+G64</f>
        <v>0</v>
      </c>
      <c r="H50" s="111">
        <f>+H51+H58+H64</f>
        <v>0</v>
      </c>
      <c r="I50" s="112">
        <f>+I51+I58+I64</f>
        <v>0</v>
      </c>
      <c r="K50" s="3">
        <f t="shared" si="1"/>
        <v>0</v>
      </c>
    </row>
    <row r="51" spans="1:11" s="119" customFormat="1" ht="12.75" customHeight="1" thickBot="1">
      <c r="A51" s="884" t="s">
        <v>14</v>
      </c>
      <c r="B51" s="891" t="s">
        <v>301</v>
      </c>
      <c r="C51" s="1103">
        <f>+C52+C53+C54+C55+C56</f>
        <v>0</v>
      </c>
      <c r="D51" s="28">
        <f>+D52+D53+D54+D55+D56</f>
        <v>0</v>
      </c>
      <c r="E51" s="28">
        <f>+E52+E53+E54+E55+E56</f>
        <v>0</v>
      </c>
      <c r="F51" s="1551" t="str">
        <f t="shared" si="0"/>
        <v>-</v>
      </c>
      <c r="G51" s="110">
        <f>+G52+G53+G54+G55+G56</f>
        <v>0</v>
      </c>
      <c r="H51" s="111">
        <f>+H52+H53+H54+H55+H56</f>
        <v>0</v>
      </c>
      <c r="I51" s="112">
        <f>+I52+I53+I54+I55+I56</f>
        <v>0</v>
      </c>
      <c r="K51" s="3">
        <f t="shared" si="1"/>
        <v>0</v>
      </c>
    </row>
    <row r="52" spans="1:11">
      <c r="A52" s="892" t="s">
        <v>185</v>
      </c>
      <c r="B52" s="113" t="s">
        <v>116</v>
      </c>
      <c r="C52" s="1104"/>
      <c r="D52" s="10"/>
      <c r="E52" s="10"/>
      <c r="F52" s="1552" t="str">
        <f t="shared" si="0"/>
        <v>-</v>
      </c>
      <c r="G52" s="114"/>
      <c r="H52" s="115"/>
      <c r="I52" s="116"/>
      <c r="K52" s="4">
        <f t="shared" si="1"/>
        <v>0</v>
      </c>
    </row>
    <row r="53" spans="1:11">
      <c r="A53" s="896" t="s">
        <v>186</v>
      </c>
      <c r="B53" s="897" t="s">
        <v>117</v>
      </c>
      <c r="C53" s="1106"/>
      <c r="D53" s="11"/>
      <c r="E53" s="11"/>
      <c r="F53" s="1553" t="str">
        <f t="shared" si="0"/>
        <v>-</v>
      </c>
      <c r="G53" s="866"/>
      <c r="H53" s="867"/>
      <c r="I53" s="868"/>
      <c r="K53" s="4">
        <f t="shared" si="1"/>
        <v>0</v>
      </c>
    </row>
    <row r="54" spans="1:11">
      <c r="A54" s="896" t="s">
        <v>187</v>
      </c>
      <c r="B54" s="897" t="s">
        <v>118</v>
      </c>
      <c r="C54" s="1106"/>
      <c r="D54" s="11"/>
      <c r="E54" s="11"/>
      <c r="F54" s="1553" t="str">
        <f t="shared" si="0"/>
        <v>-</v>
      </c>
      <c r="G54" s="866"/>
      <c r="H54" s="867"/>
      <c r="I54" s="868"/>
      <c r="K54" s="4">
        <f t="shared" si="1"/>
        <v>0</v>
      </c>
    </row>
    <row r="55" spans="1:11">
      <c r="A55" s="896" t="s">
        <v>188</v>
      </c>
      <c r="B55" s="897" t="s">
        <v>119</v>
      </c>
      <c r="C55" s="1106"/>
      <c r="D55" s="11"/>
      <c r="E55" s="11"/>
      <c r="F55" s="1553" t="str">
        <f t="shared" si="0"/>
        <v>-</v>
      </c>
      <c r="G55" s="866"/>
      <c r="H55" s="867"/>
      <c r="I55" s="868"/>
      <c r="K55" s="4">
        <f t="shared" si="1"/>
        <v>0</v>
      </c>
    </row>
    <row r="56" spans="1:11">
      <c r="A56" s="898" t="s">
        <v>189</v>
      </c>
      <c r="B56" s="899" t="s">
        <v>120</v>
      </c>
      <c r="C56" s="1107"/>
      <c r="D56" s="22"/>
      <c r="E56" s="22"/>
      <c r="F56" s="1555" t="str">
        <f t="shared" si="0"/>
        <v>-</v>
      </c>
      <c r="G56" s="869"/>
      <c r="H56" s="870"/>
      <c r="I56" s="871"/>
      <c r="K56" s="4">
        <f t="shared" si="1"/>
        <v>0</v>
      </c>
    </row>
    <row r="57" spans="1:11" s="117" customFormat="1" ht="12.75" thickBot="1">
      <c r="A57" s="900" t="s">
        <v>334</v>
      </c>
      <c r="B57" s="901" t="s">
        <v>338</v>
      </c>
      <c r="C57" s="1108"/>
      <c r="D57" s="43"/>
      <c r="E57" s="43"/>
      <c r="F57" s="1555" t="str">
        <f t="shared" si="0"/>
        <v>-</v>
      </c>
      <c r="G57" s="902"/>
      <c r="H57" s="903"/>
      <c r="I57" s="904"/>
      <c r="K57" s="13">
        <f t="shared" si="1"/>
        <v>0</v>
      </c>
    </row>
    <row r="58" spans="1:11" s="119" customFormat="1" ht="12.75" customHeight="1" thickBot="1">
      <c r="A58" s="884" t="s">
        <v>13</v>
      </c>
      <c r="B58" s="891" t="s">
        <v>302</v>
      </c>
      <c r="C58" s="1103">
        <f>+C59+C60+C61+C62+C63</f>
        <v>0</v>
      </c>
      <c r="D58" s="28">
        <f>+D59+D60+D61+D62+D63</f>
        <v>0</v>
      </c>
      <c r="E58" s="28">
        <f>+E59+E60+E61+E62+E63</f>
        <v>0</v>
      </c>
      <c r="F58" s="1551" t="str">
        <f t="shared" si="0"/>
        <v>-</v>
      </c>
      <c r="G58" s="110">
        <f>+G59+G60+G61+G62+G63</f>
        <v>0</v>
      </c>
      <c r="H58" s="111">
        <f>+H59+H60+H61+H62+H63</f>
        <v>0</v>
      </c>
      <c r="I58" s="112">
        <f>+I59+I60+I61+I62+I63</f>
        <v>0</v>
      </c>
      <c r="K58" s="3">
        <f t="shared" si="1"/>
        <v>0</v>
      </c>
    </row>
    <row r="59" spans="1:11" ht="12.75" customHeight="1">
      <c r="A59" s="892" t="s">
        <v>66</v>
      </c>
      <c r="B59" s="113" t="s">
        <v>121</v>
      </c>
      <c r="C59" s="1104"/>
      <c r="D59" s="10"/>
      <c r="E59" s="10"/>
      <c r="F59" s="1552" t="str">
        <f t="shared" si="0"/>
        <v>-</v>
      </c>
      <c r="G59" s="114"/>
      <c r="H59" s="115"/>
      <c r="I59" s="116"/>
      <c r="K59" s="4">
        <f t="shared" si="1"/>
        <v>0</v>
      </c>
    </row>
    <row r="60" spans="1:11" ht="12.75" customHeight="1">
      <c r="A60" s="896" t="s">
        <v>67</v>
      </c>
      <c r="B60" s="897" t="s">
        <v>122</v>
      </c>
      <c r="C60" s="1106"/>
      <c r="D60" s="11"/>
      <c r="E60" s="11"/>
      <c r="F60" s="1553" t="str">
        <f t="shared" si="0"/>
        <v>-</v>
      </c>
      <c r="G60" s="866"/>
      <c r="H60" s="867"/>
      <c r="I60" s="868"/>
      <c r="K60" s="4">
        <f t="shared" si="1"/>
        <v>0</v>
      </c>
    </row>
    <row r="61" spans="1:11" ht="12.75" customHeight="1">
      <c r="A61" s="896" t="s">
        <v>68</v>
      </c>
      <c r="B61" s="897" t="s">
        <v>123</v>
      </c>
      <c r="C61" s="1106"/>
      <c r="D61" s="11"/>
      <c r="E61" s="11"/>
      <c r="F61" s="1553" t="str">
        <f t="shared" si="0"/>
        <v>-</v>
      </c>
      <c r="G61" s="866"/>
      <c r="H61" s="867"/>
      <c r="I61" s="868"/>
      <c r="K61" s="4">
        <f t="shared" si="1"/>
        <v>0</v>
      </c>
    </row>
    <row r="62" spans="1:11" ht="12.75" customHeight="1">
      <c r="A62" s="896" t="s">
        <v>230</v>
      </c>
      <c r="B62" s="897" t="s">
        <v>124</v>
      </c>
      <c r="C62" s="1106"/>
      <c r="D62" s="11"/>
      <c r="E62" s="11"/>
      <c r="F62" s="1553" t="str">
        <f t="shared" si="0"/>
        <v>-</v>
      </c>
      <c r="G62" s="866"/>
      <c r="H62" s="867"/>
      <c r="I62" s="868"/>
      <c r="K62" s="4">
        <f t="shared" si="1"/>
        <v>0</v>
      </c>
    </row>
    <row r="63" spans="1:11" ht="12.75" customHeight="1" thickBot="1">
      <c r="A63" s="898" t="s">
        <v>231</v>
      </c>
      <c r="B63" s="899" t="s">
        <v>125</v>
      </c>
      <c r="C63" s="1107"/>
      <c r="D63" s="22"/>
      <c r="E63" s="22"/>
      <c r="F63" s="1555" t="str">
        <f t="shared" si="0"/>
        <v>-</v>
      </c>
      <c r="G63" s="869"/>
      <c r="H63" s="870"/>
      <c r="I63" s="871"/>
      <c r="K63" s="4">
        <f t="shared" si="1"/>
        <v>0</v>
      </c>
    </row>
    <row r="64" spans="1:11" s="119" customFormat="1" ht="12.75" thickBot="1">
      <c r="A64" s="884" t="s">
        <v>12</v>
      </c>
      <c r="B64" s="891" t="s">
        <v>911</v>
      </c>
      <c r="C64" s="1103">
        <f>+C65+C66+C67+C68+C69</f>
        <v>0</v>
      </c>
      <c r="D64" s="28">
        <f>+D65+D66+D67+D68+D69</f>
        <v>0</v>
      </c>
      <c r="E64" s="28">
        <f>+E65+E66+E67+E68+E69</f>
        <v>0</v>
      </c>
      <c r="F64" s="1551" t="str">
        <f t="shared" si="0"/>
        <v>-</v>
      </c>
      <c r="G64" s="110">
        <f>+G65+G66+G67+G68+G69</f>
        <v>0</v>
      </c>
      <c r="H64" s="111">
        <f>+H65+H66+H67+H68+H69</f>
        <v>0</v>
      </c>
      <c r="I64" s="112">
        <f>+I65+I66+I67+I68+I69</f>
        <v>0</v>
      </c>
      <c r="K64" s="3">
        <f t="shared" si="1"/>
        <v>0</v>
      </c>
    </row>
    <row r="65" spans="1:11">
      <c r="A65" s="892" t="s">
        <v>69</v>
      </c>
      <c r="B65" s="113" t="s">
        <v>126</v>
      </c>
      <c r="C65" s="1104"/>
      <c r="D65" s="10"/>
      <c r="E65" s="10"/>
      <c r="F65" s="1552" t="str">
        <f t="shared" si="0"/>
        <v>-</v>
      </c>
      <c r="G65" s="114"/>
      <c r="H65" s="115"/>
      <c r="I65" s="116"/>
      <c r="K65" s="4">
        <f t="shared" si="1"/>
        <v>0</v>
      </c>
    </row>
    <row r="66" spans="1:11">
      <c r="A66" s="892" t="s">
        <v>70</v>
      </c>
      <c r="B66" s="113" t="s">
        <v>912</v>
      </c>
      <c r="C66" s="1104"/>
      <c r="D66" s="10"/>
      <c r="E66" s="10"/>
      <c r="F66" s="1552" t="str">
        <f t="shared" si="0"/>
        <v>-</v>
      </c>
      <c r="G66" s="114"/>
      <c r="H66" s="115"/>
      <c r="I66" s="116"/>
      <c r="K66" s="4">
        <f t="shared" si="1"/>
        <v>0</v>
      </c>
    </row>
    <row r="67" spans="1:11">
      <c r="A67" s="892" t="s">
        <v>71</v>
      </c>
      <c r="B67" s="113" t="s">
        <v>913</v>
      </c>
      <c r="C67" s="1104"/>
      <c r="D67" s="10"/>
      <c r="E67" s="10"/>
      <c r="F67" s="1552" t="str">
        <f t="shared" si="0"/>
        <v>-</v>
      </c>
      <c r="G67" s="114"/>
      <c r="H67" s="115"/>
      <c r="I67" s="116"/>
      <c r="K67" s="4">
        <f t="shared" si="1"/>
        <v>0</v>
      </c>
    </row>
    <row r="68" spans="1:11">
      <c r="A68" s="896" t="s">
        <v>72</v>
      </c>
      <c r="B68" s="897" t="s">
        <v>909</v>
      </c>
      <c r="C68" s="1106"/>
      <c r="D68" s="11"/>
      <c r="E68" s="11"/>
      <c r="F68" s="1553" t="str">
        <f t="shared" si="0"/>
        <v>-</v>
      </c>
      <c r="G68" s="866"/>
      <c r="H68" s="867"/>
      <c r="I68" s="868"/>
      <c r="K68" s="4">
        <f t="shared" si="1"/>
        <v>0</v>
      </c>
    </row>
    <row r="69" spans="1:11" ht="12.75" thickBot="1">
      <c r="A69" s="898" t="s">
        <v>908</v>
      </c>
      <c r="B69" s="899" t="s">
        <v>910</v>
      </c>
      <c r="C69" s="1107"/>
      <c r="D69" s="22"/>
      <c r="E69" s="22"/>
      <c r="F69" s="1555" t="str">
        <f t="shared" si="0"/>
        <v>-</v>
      </c>
      <c r="G69" s="869"/>
      <c r="H69" s="870"/>
      <c r="I69" s="871"/>
      <c r="K69" s="4">
        <f t="shared" si="1"/>
        <v>0</v>
      </c>
    </row>
    <row r="70" spans="1:11" s="119" customFormat="1" ht="12.75" thickBot="1">
      <c r="A70" s="884" t="s">
        <v>11</v>
      </c>
      <c r="B70" s="905" t="s">
        <v>303</v>
      </c>
      <c r="C70" s="1103">
        <f>+C10+C50</f>
        <v>15810</v>
      </c>
      <c r="D70" s="28">
        <f>+D10+D50</f>
        <v>0</v>
      </c>
      <c r="E70" s="28">
        <f>+E10+E50</f>
        <v>0</v>
      </c>
      <c r="F70" s="1551" t="str">
        <f t="shared" si="0"/>
        <v>-</v>
      </c>
      <c r="G70" s="110">
        <f>+G10+G50</f>
        <v>0</v>
      </c>
      <c r="H70" s="111">
        <f>+H10+H50</f>
        <v>0</v>
      </c>
      <c r="I70" s="112">
        <f>+I10+I50</f>
        <v>0</v>
      </c>
      <c r="K70" s="3">
        <f t="shared" si="1"/>
        <v>0</v>
      </c>
    </row>
    <row r="71" spans="1:11" s="119" customFormat="1" ht="12.75" thickBot="1">
      <c r="A71" s="884" t="s">
        <v>10</v>
      </c>
      <c r="B71" s="906" t="s">
        <v>304</v>
      </c>
      <c r="C71" s="1103">
        <f>+C72</f>
        <v>-1300</v>
      </c>
      <c r="D71" s="28">
        <f>+D72</f>
        <v>10158</v>
      </c>
      <c r="E71" s="28">
        <f>+E72</f>
        <v>10176</v>
      </c>
      <c r="F71" s="1551">
        <f t="shared" si="0"/>
        <v>1.0017720023626697</v>
      </c>
      <c r="G71" s="110">
        <f>+G72</f>
        <v>0</v>
      </c>
      <c r="H71" s="111">
        <f>+H72</f>
        <v>10176</v>
      </c>
      <c r="I71" s="112">
        <f>+I72</f>
        <v>0</v>
      </c>
      <c r="K71" s="3">
        <f t="shared" si="1"/>
        <v>0</v>
      </c>
    </row>
    <row r="72" spans="1:11" s="119" customFormat="1" ht="12.75" thickBot="1">
      <c r="A72" s="884" t="s">
        <v>9</v>
      </c>
      <c r="B72" s="891" t="s">
        <v>920</v>
      </c>
      <c r="C72" s="1103">
        <f>+C73+C83+C84+C85</f>
        <v>-1300</v>
      </c>
      <c r="D72" s="28">
        <f>+D73+D83+D84+D85</f>
        <v>10158</v>
      </c>
      <c r="E72" s="28">
        <f>+E73+E83+E84+E85</f>
        <v>10176</v>
      </c>
      <c r="F72" s="1551">
        <f t="shared" si="0"/>
        <v>1.0017720023626697</v>
      </c>
      <c r="G72" s="110">
        <f>+G73+G83+G84+G85</f>
        <v>0</v>
      </c>
      <c r="H72" s="111">
        <f>+H73+H83+H84+H85</f>
        <v>10176</v>
      </c>
      <c r="I72" s="112">
        <f>+I73+I83+I84+I85</f>
        <v>0</v>
      </c>
      <c r="K72" s="3">
        <f t="shared" si="1"/>
        <v>0</v>
      </c>
    </row>
    <row r="73" spans="1:11">
      <c r="A73" s="892" t="s">
        <v>73</v>
      </c>
      <c r="B73" s="113" t="s">
        <v>915</v>
      </c>
      <c r="C73" s="1104">
        <f>+C74+C75+C76+C77+C78+C79+C80+C81+C82</f>
        <v>-1300</v>
      </c>
      <c r="D73" s="10">
        <f>+D74+D75+D76+D77+D78+D79+D80+D81+D82</f>
        <v>10158</v>
      </c>
      <c r="E73" s="10">
        <f>+E74+E75+E76+E77+E78+E79+E80+E81+E82</f>
        <v>10176</v>
      </c>
      <c r="F73" s="1552">
        <f t="shared" si="0"/>
        <v>1.0017720023626697</v>
      </c>
      <c r="G73" s="114">
        <f>+G74+G75+G76+G77+G78+G79+G80+G81+G82</f>
        <v>0</v>
      </c>
      <c r="H73" s="115">
        <f>+H74+H75+H76+H77+H78+H79+H80+H81+H82</f>
        <v>10176</v>
      </c>
      <c r="I73" s="116">
        <f>+I74+I75+I76+I77+I78+I79+I80+I81+I82</f>
        <v>0</v>
      </c>
      <c r="K73" s="4">
        <f t="shared" si="1"/>
        <v>0</v>
      </c>
    </row>
    <row r="74" spans="1:11" s="117" customFormat="1">
      <c r="A74" s="108" t="s">
        <v>196</v>
      </c>
      <c r="B74" s="109" t="s">
        <v>914</v>
      </c>
      <c r="C74" s="1105"/>
      <c r="D74" s="12"/>
      <c r="E74" s="12"/>
      <c r="F74" s="1553" t="str">
        <f t="shared" ref="F74:F102" si="2">IF(ISERROR(E74/D74),"-",E74/D74)</f>
        <v>-</v>
      </c>
      <c r="G74" s="656"/>
      <c r="H74" s="657"/>
      <c r="I74" s="658"/>
      <c r="K74" s="13">
        <f t="shared" ref="K74:K102" si="3">+E74-G74-H74-I74</f>
        <v>0</v>
      </c>
    </row>
    <row r="75" spans="1:11" s="117" customFormat="1">
      <c r="A75" s="108" t="s">
        <v>197</v>
      </c>
      <c r="B75" s="109" t="s">
        <v>247</v>
      </c>
      <c r="C75" s="1105"/>
      <c r="D75" s="12"/>
      <c r="E75" s="12"/>
      <c r="F75" s="1553" t="str">
        <f t="shared" si="2"/>
        <v>-</v>
      </c>
      <c r="G75" s="656"/>
      <c r="H75" s="657"/>
      <c r="I75" s="658"/>
      <c r="K75" s="13">
        <f t="shared" si="3"/>
        <v>0</v>
      </c>
    </row>
    <row r="76" spans="1:11" s="117" customFormat="1">
      <c r="A76" s="108" t="s">
        <v>198</v>
      </c>
      <c r="B76" s="109" t="s">
        <v>248</v>
      </c>
      <c r="C76" s="1105"/>
      <c r="D76" s="12">
        <f>0+15</f>
        <v>15</v>
      </c>
      <c r="E76" s="12">
        <v>15</v>
      </c>
      <c r="F76" s="1553">
        <f t="shared" si="2"/>
        <v>1</v>
      </c>
      <c r="G76" s="656"/>
      <c r="H76" s="657">
        <v>15</v>
      </c>
      <c r="I76" s="658"/>
      <c r="K76" s="13">
        <f t="shared" si="3"/>
        <v>0</v>
      </c>
    </row>
    <row r="77" spans="1:11" s="117" customFormat="1">
      <c r="A77" s="108" t="s">
        <v>199</v>
      </c>
      <c r="B77" s="109" t="s">
        <v>249</v>
      </c>
      <c r="C77" s="1105"/>
      <c r="D77" s="12"/>
      <c r="E77" s="12"/>
      <c r="F77" s="1553" t="str">
        <f t="shared" si="2"/>
        <v>-</v>
      </c>
      <c r="G77" s="656"/>
      <c r="H77" s="657"/>
      <c r="I77" s="658"/>
      <c r="K77" s="13">
        <f t="shared" si="3"/>
        <v>0</v>
      </c>
    </row>
    <row r="78" spans="1:11" s="117" customFormat="1">
      <c r="A78" s="108" t="s">
        <v>200</v>
      </c>
      <c r="B78" s="109" t="s">
        <v>250</v>
      </c>
      <c r="C78" s="1105"/>
      <c r="D78" s="12"/>
      <c r="E78" s="12"/>
      <c r="F78" s="1553" t="str">
        <f t="shared" si="2"/>
        <v>-</v>
      </c>
      <c r="G78" s="656"/>
      <c r="H78" s="657"/>
      <c r="I78" s="658"/>
      <c r="K78" s="13">
        <f t="shared" si="3"/>
        <v>0</v>
      </c>
    </row>
    <row r="79" spans="1:11" s="117" customFormat="1">
      <c r="A79" s="108" t="s">
        <v>201</v>
      </c>
      <c r="B79" s="109" t="s">
        <v>251</v>
      </c>
      <c r="C79" s="1105">
        <f t="shared" ref="C79" si="4">+C109-C10+C178-C74-C75-C76-C77-C78-C80-C81-C83-C84-C85</f>
        <v>-1300</v>
      </c>
      <c r="D79" s="12">
        <f>10431-D94</f>
        <v>10143</v>
      </c>
      <c r="E79" s="12">
        <f>10449-E94</f>
        <v>10161</v>
      </c>
      <c r="F79" s="1553">
        <f t="shared" si="2"/>
        <v>1.0017746228926354</v>
      </c>
      <c r="G79" s="656"/>
      <c r="H79" s="657">
        <v>10161</v>
      </c>
      <c r="I79" s="658"/>
      <c r="K79" s="117">
        <f t="shared" si="3"/>
        <v>0</v>
      </c>
    </row>
    <row r="80" spans="1:11" s="117" customFormat="1">
      <c r="A80" s="108" t="s">
        <v>204</v>
      </c>
      <c r="B80" s="109" t="s">
        <v>252</v>
      </c>
      <c r="C80" s="1105"/>
      <c r="D80" s="12"/>
      <c r="E80" s="12"/>
      <c r="F80" s="1553" t="str">
        <f t="shared" si="2"/>
        <v>-</v>
      </c>
      <c r="G80" s="656"/>
      <c r="H80" s="657"/>
      <c r="I80" s="658"/>
      <c r="K80" s="117">
        <f t="shared" si="3"/>
        <v>0</v>
      </c>
    </row>
    <row r="81" spans="1:11" s="117" customFormat="1">
      <c r="A81" s="108" t="s">
        <v>202</v>
      </c>
      <c r="B81" s="109" t="s">
        <v>245</v>
      </c>
      <c r="C81" s="1105"/>
      <c r="D81" s="12"/>
      <c r="E81" s="12"/>
      <c r="F81" s="1553" t="str">
        <f t="shared" si="2"/>
        <v>-</v>
      </c>
      <c r="G81" s="656"/>
      <c r="H81" s="657"/>
      <c r="I81" s="658"/>
      <c r="K81" s="117">
        <f t="shared" si="3"/>
        <v>0</v>
      </c>
    </row>
    <row r="82" spans="1:11" s="117" customFormat="1">
      <c r="A82" s="108" t="s">
        <v>916</v>
      </c>
      <c r="B82" s="109" t="s">
        <v>917</v>
      </c>
      <c r="C82" s="1105"/>
      <c r="D82" s="12"/>
      <c r="E82" s="12"/>
      <c r="F82" s="1553" t="str">
        <f t="shared" si="2"/>
        <v>-</v>
      </c>
      <c r="G82" s="656"/>
      <c r="H82" s="657"/>
      <c r="I82" s="658"/>
      <c r="K82" s="117">
        <f t="shared" si="3"/>
        <v>0</v>
      </c>
    </row>
    <row r="83" spans="1:11">
      <c r="A83" s="896" t="s">
        <v>74</v>
      </c>
      <c r="B83" s="897" t="s">
        <v>243</v>
      </c>
      <c r="C83" s="1106"/>
      <c r="D83" s="11"/>
      <c r="E83" s="11"/>
      <c r="F83" s="1553" t="str">
        <f t="shared" si="2"/>
        <v>-</v>
      </c>
      <c r="G83" s="866"/>
      <c r="H83" s="867"/>
      <c r="I83" s="868"/>
      <c r="K83" s="118">
        <f t="shared" si="3"/>
        <v>0</v>
      </c>
    </row>
    <row r="84" spans="1:11">
      <c r="A84" s="898" t="s">
        <v>203</v>
      </c>
      <c r="B84" s="899" t="s">
        <v>244</v>
      </c>
      <c r="C84" s="1107"/>
      <c r="D84" s="22"/>
      <c r="E84" s="22"/>
      <c r="F84" s="1555" t="str">
        <f t="shared" si="2"/>
        <v>-</v>
      </c>
      <c r="G84" s="869"/>
      <c r="H84" s="870"/>
      <c r="I84" s="871"/>
      <c r="K84" s="118">
        <f t="shared" si="3"/>
        <v>0</v>
      </c>
    </row>
    <row r="85" spans="1:11" ht="12.75" thickBot="1">
      <c r="A85" s="898" t="s">
        <v>918</v>
      </c>
      <c r="B85" s="899" t="s">
        <v>919</v>
      </c>
      <c r="C85" s="1107"/>
      <c r="D85" s="22"/>
      <c r="E85" s="22"/>
      <c r="F85" s="1555" t="str">
        <f t="shared" si="2"/>
        <v>-</v>
      </c>
      <c r="G85" s="869"/>
      <c r="H85" s="870"/>
      <c r="I85" s="871"/>
      <c r="K85" s="118">
        <f t="shared" si="3"/>
        <v>0</v>
      </c>
    </row>
    <row r="86" spans="1:11" s="119" customFormat="1" ht="12.75" thickBot="1">
      <c r="A86" s="884" t="s">
        <v>45</v>
      </c>
      <c r="B86" s="906" t="s">
        <v>305</v>
      </c>
      <c r="C86" s="1103">
        <f>+C87</f>
        <v>1300</v>
      </c>
      <c r="D86" s="28">
        <f>+D87</f>
        <v>288</v>
      </c>
      <c r="E86" s="28">
        <f>+E87</f>
        <v>288</v>
      </c>
      <c r="F86" s="1551">
        <f t="shared" si="2"/>
        <v>1</v>
      </c>
      <c r="G86" s="110">
        <f>+G87</f>
        <v>0</v>
      </c>
      <c r="H86" s="111">
        <f>+H87</f>
        <v>288</v>
      </c>
      <c r="I86" s="112">
        <f>+I87</f>
        <v>0</v>
      </c>
      <c r="K86" s="119">
        <f t="shared" si="3"/>
        <v>0</v>
      </c>
    </row>
    <row r="87" spans="1:11" s="119" customFormat="1" ht="12.75" thickBot="1">
      <c r="A87" s="884" t="s">
        <v>44</v>
      </c>
      <c r="B87" s="891" t="s">
        <v>922</v>
      </c>
      <c r="C87" s="1103">
        <f>+C88+C98+C99+C100</f>
        <v>1300</v>
      </c>
      <c r="D87" s="28">
        <f>+D88+D98+D99+D100</f>
        <v>288</v>
      </c>
      <c r="E87" s="28">
        <f>+E88+E98+E99+E100</f>
        <v>288</v>
      </c>
      <c r="F87" s="1551">
        <f t="shared" si="2"/>
        <v>1</v>
      </c>
      <c r="G87" s="110">
        <f>+G88+G98+G99+G100</f>
        <v>0</v>
      </c>
      <c r="H87" s="111">
        <f>+H88+H98+H99+H100</f>
        <v>288</v>
      </c>
      <c r="I87" s="112">
        <f>+I88+I98+I99+I100</f>
        <v>0</v>
      </c>
      <c r="K87" s="119">
        <f t="shared" si="3"/>
        <v>0</v>
      </c>
    </row>
    <row r="88" spans="1:11">
      <c r="A88" s="892" t="s">
        <v>232</v>
      </c>
      <c r="B88" s="113" t="s">
        <v>977</v>
      </c>
      <c r="C88" s="1104">
        <f>+C89+C90+C91+C92+C93+C94+C95+C96+C97</f>
        <v>1300</v>
      </c>
      <c r="D88" s="10">
        <f>+D89+D90+D91+D92+D93+D94+D95+D96+D97</f>
        <v>288</v>
      </c>
      <c r="E88" s="10">
        <f>+E89+E90+E91+E92+E93+E94+E95+E96+E97</f>
        <v>288</v>
      </c>
      <c r="F88" s="1552">
        <f t="shared" si="2"/>
        <v>1</v>
      </c>
      <c r="G88" s="114">
        <f>+G89+G90+G91+G92+G93+G94+G95+G96+G97</f>
        <v>0</v>
      </c>
      <c r="H88" s="115">
        <f>+H89+H90+H91+H92+H93+H94+H95+H96+H97</f>
        <v>288</v>
      </c>
      <c r="I88" s="116">
        <f>+I89+I90+I91+I92+I93+I94+I95+I96+I97</f>
        <v>0</v>
      </c>
      <c r="K88" s="118">
        <f t="shared" si="3"/>
        <v>0</v>
      </c>
    </row>
    <row r="89" spans="1:11" s="117" customFormat="1">
      <c r="A89" s="108" t="s">
        <v>233</v>
      </c>
      <c r="B89" s="109" t="s">
        <v>914</v>
      </c>
      <c r="C89" s="1105"/>
      <c r="D89" s="12"/>
      <c r="E89" s="12"/>
      <c r="F89" s="1553" t="str">
        <f t="shared" si="2"/>
        <v>-</v>
      </c>
      <c r="G89" s="656"/>
      <c r="H89" s="657"/>
      <c r="I89" s="658"/>
      <c r="K89" s="117">
        <f t="shared" si="3"/>
        <v>0</v>
      </c>
    </row>
    <row r="90" spans="1:11" s="117" customFormat="1">
      <c r="A90" s="108" t="s">
        <v>234</v>
      </c>
      <c r="B90" s="109" t="s">
        <v>247</v>
      </c>
      <c r="C90" s="1105"/>
      <c r="D90" s="12"/>
      <c r="E90" s="12"/>
      <c r="F90" s="1553" t="str">
        <f t="shared" si="2"/>
        <v>-</v>
      </c>
      <c r="G90" s="656"/>
      <c r="H90" s="657"/>
      <c r="I90" s="658"/>
      <c r="K90" s="117">
        <f t="shared" si="3"/>
        <v>0</v>
      </c>
    </row>
    <row r="91" spans="1:11" s="117" customFormat="1">
      <c r="A91" s="108" t="s">
        <v>235</v>
      </c>
      <c r="B91" s="109" t="s">
        <v>248</v>
      </c>
      <c r="C91" s="1105"/>
      <c r="D91" s="12"/>
      <c r="E91" s="12"/>
      <c r="F91" s="1553" t="str">
        <f t="shared" si="2"/>
        <v>-</v>
      </c>
      <c r="G91" s="656"/>
      <c r="H91" s="657"/>
      <c r="I91" s="658"/>
      <c r="K91" s="117">
        <f t="shared" si="3"/>
        <v>0</v>
      </c>
    </row>
    <row r="92" spans="1:11" s="117" customFormat="1">
      <c r="A92" s="108" t="s">
        <v>236</v>
      </c>
      <c r="B92" s="109" t="s">
        <v>249</v>
      </c>
      <c r="C92" s="1105"/>
      <c r="D92" s="12"/>
      <c r="E92" s="12"/>
      <c r="F92" s="1553" t="str">
        <f t="shared" si="2"/>
        <v>-</v>
      </c>
      <c r="G92" s="656"/>
      <c r="H92" s="657"/>
      <c r="I92" s="658"/>
      <c r="K92" s="117">
        <f t="shared" si="3"/>
        <v>0</v>
      </c>
    </row>
    <row r="93" spans="1:11" s="117" customFormat="1">
      <c r="A93" s="108" t="s">
        <v>237</v>
      </c>
      <c r="B93" s="109" t="s">
        <v>250</v>
      </c>
      <c r="C93" s="1105"/>
      <c r="D93" s="12"/>
      <c r="E93" s="12"/>
      <c r="F93" s="1553" t="str">
        <f t="shared" si="2"/>
        <v>-</v>
      </c>
      <c r="G93" s="656"/>
      <c r="H93" s="657"/>
      <c r="I93" s="658"/>
      <c r="K93" s="117">
        <f t="shared" si="3"/>
        <v>0</v>
      </c>
    </row>
    <row r="94" spans="1:11" s="117" customFormat="1">
      <c r="A94" s="108" t="s">
        <v>238</v>
      </c>
      <c r="B94" s="109" t="s">
        <v>251</v>
      </c>
      <c r="C94" s="1105">
        <f t="shared" ref="C94:E94" si="5">+C149-C50+C192-C89-C90-C91-C92-C93-C95-C96-C98-C99-C100</f>
        <v>1300</v>
      </c>
      <c r="D94" s="12">
        <f t="shared" si="5"/>
        <v>288</v>
      </c>
      <c r="E94" s="12">
        <f t="shared" si="5"/>
        <v>288</v>
      </c>
      <c r="F94" s="1554">
        <f t="shared" si="2"/>
        <v>1</v>
      </c>
      <c r="G94" s="656">
        <f>+G149-G50+G192-G89-G90-G91-G92-G93-G95-G96-G98-G99-G100</f>
        <v>0</v>
      </c>
      <c r="H94" s="657">
        <f>+H149-H50+H192-H89-H90-H91-H92-H93-H95-H96-H98-H99-H100</f>
        <v>288</v>
      </c>
      <c r="I94" s="658">
        <f>+I149-I50+I192-I89-I90-I91-I92-I93-I95-I96-I98-I99-I100</f>
        <v>0</v>
      </c>
      <c r="K94" s="117">
        <f t="shared" si="3"/>
        <v>0</v>
      </c>
    </row>
    <row r="95" spans="1:11" s="117" customFormat="1">
      <c r="A95" s="108" t="s">
        <v>239</v>
      </c>
      <c r="B95" s="109" t="s">
        <v>252</v>
      </c>
      <c r="C95" s="1105"/>
      <c r="D95" s="12"/>
      <c r="E95" s="12"/>
      <c r="F95" s="1553" t="str">
        <f t="shared" si="2"/>
        <v>-</v>
      </c>
      <c r="G95" s="656"/>
      <c r="H95" s="657"/>
      <c r="I95" s="658"/>
      <c r="K95" s="13">
        <f t="shared" si="3"/>
        <v>0</v>
      </c>
    </row>
    <row r="96" spans="1:11" s="117" customFormat="1">
      <c r="A96" s="108" t="s">
        <v>240</v>
      </c>
      <c r="B96" s="109" t="s">
        <v>245</v>
      </c>
      <c r="C96" s="1105"/>
      <c r="D96" s="12"/>
      <c r="E96" s="12"/>
      <c r="F96" s="1553" t="str">
        <f t="shared" si="2"/>
        <v>-</v>
      </c>
      <c r="G96" s="656"/>
      <c r="H96" s="657"/>
      <c r="I96" s="658"/>
      <c r="K96" s="13">
        <f t="shared" si="3"/>
        <v>0</v>
      </c>
    </row>
    <row r="97" spans="1:11" s="117" customFormat="1">
      <c r="A97" s="108" t="s">
        <v>921</v>
      </c>
      <c r="B97" s="109" t="s">
        <v>917</v>
      </c>
      <c r="C97" s="1105"/>
      <c r="D97" s="12"/>
      <c r="E97" s="12"/>
      <c r="F97" s="1553" t="str">
        <f t="shared" si="2"/>
        <v>-</v>
      </c>
      <c r="G97" s="656"/>
      <c r="H97" s="657"/>
      <c r="I97" s="658"/>
      <c r="K97" s="13">
        <f t="shared" si="3"/>
        <v>0</v>
      </c>
    </row>
    <row r="98" spans="1:11">
      <c r="A98" s="896" t="s">
        <v>241</v>
      </c>
      <c r="B98" s="897" t="s">
        <v>243</v>
      </c>
      <c r="C98" s="1106"/>
      <c r="D98" s="11"/>
      <c r="E98" s="11"/>
      <c r="F98" s="1553" t="str">
        <f t="shared" si="2"/>
        <v>-</v>
      </c>
      <c r="G98" s="866"/>
      <c r="H98" s="867"/>
      <c r="I98" s="868"/>
      <c r="K98" s="4">
        <f t="shared" si="3"/>
        <v>0</v>
      </c>
    </row>
    <row r="99" spans="1:11">
      <c r="A99" s="898" t="s">
        <v>242</v>
      </c>
      <c r="B99" s="899" t="s">
        <v>244</v>
      </c>
      <c r="C99" s="1107"/>
      <c r="D99" s="22"/>
      <c r="E99" s="22"/>
      <c r="F99" s="1555" t="str">
        <f t="shared" si="2"/>
        <v>-</v>
      </c>
      <c r="G99" s="869"/>
      <c r="H99" s="870"/>
      <c r="I99" s="871"/>
      <c r="K99" s="4">
        <f t="shared" si="3"/>
        <v>0</v>
      </c>
    </row>
    <row r="100" spans="1:11" ht="12.75" thickBot="1">
      <c r="A100" s="898" t="s">
        <v>923</v>
      </c>
      <c r="B100" s="899" t="s">
        <v>919</v>
      </c>
      <c r="C100" s="1107"/>
      <c r="D100" s="22"/>
      <c r="E100" s="22"/>
      <c r="F100" s="1555" t="str">
        <f t="shared" si="2"/>
        <v>-</v>
      </c>
      <c r="G100" s="869"/>
      <c r="H100" s="870"/>
      <c r="I100" s="871"/>
      <c r="K100" s="4">
        <f t="shared" si="3"/>
        <v>0</v>
      </c>
    </row>
    <row r="101" spans="1:11" s="119" customFormat="1" ht="12.75" thickBot="1">
      <c r="A101" s="884" t="s">
        <v>43</v>
      </c>
      <c r="B101" s="905" t="s">
        <v>306</v>
      </c>
      <c r="C101" s="1103">
        <f>+C71+C86</f>
        <v>0</v>
      </c>
      <c r="D101" s="28">
        <f>+D71+D86</f>
        <v>10446</v>
      </c>
      <c r="E101" s="28">
        <f>+E71+E86</f>
        <v>10464</v>
      </c>
      <c r="F101" s="1551">
        <f t="shared" si="2"/>
        <v>1.0017231476163124</v>
      </c>
      <c r="G101" s="110">
        <f>+G71+G86</f>
        <v>0</v>
      </c>
      <c r="H101" s="111">
        <f>+H71+H86</f>
        <v>10464</v>
      </c>
      <c r="I101" s="112">
        <f>+I71+I86</f>
        <v>0</v>
      </c>
      <c r="K101" s="3">
        <f t="shared" si="3"/>
        <v>0</v>
      </c>
    </row>
    <row r="102" spans="1:11" s="119" customFormat="1" ht="12.75" thickBot="1">
      <c r="A102" s="907" t="s">
        <v>40</v>
      </c>
      <c r="B102" s="908" t="s">
        <v>307</v>
      </c>
      <c r="C102" s="1109">
        <f>+C70+C101</f>
        <v>15810</v>
      </c>
      <c r="D102" s="25">
        <f>+D70+D101</f>
        <v>10446</v>
      </c>
      <c r="E102" s="25">
        <f>+E70+E101</f>
        <v>10464</v>
      </c>
      <c r="F102" s="1556">
        <f t="shared" si="2"/>
        <v>1.0017231476163124</v>
      </c>
      <c r="G102" s="909">
        <f>+G70+G101</f>
        <v>0</v>
      </c>
      <c r="H102" s="910">
        <f>+H70+H101</f>
        <v>10464</v>
      </c>
      <c r="I102" s="911">
        <f>+I70+I101</f>
        <v>0</v>
      </c>
      <c r="K102" s="3">
        <f t="shared" si="3"/>
        <v>0</v>
      </c>
    </row>
    <row r="103" spans="1:11" s="119" customFormat="1">
      <c r="A103" s="912"/>
      <c r="B103" s="913"/>
      <c r="C103" s="30"/>
      <c r="D103" s="30"/>
      <c r="E103" s="30"/>
      <c r="F103" s="1548"/>
      <c r="G103" s="913"/>
      <c r="H103" s="913"/>
      <c r="I103" s="913"/>
      <c r="K103" s="3"/>
    </row>
    <row r="104" spans="1:11" s="119" customFormat="1">
      <c r="A104" s="912"/>
      <c r="B104" s="913"/>
      <c r="C104" s="30"/>
      <c r="D104" s="30"/>
      <c r="E104" s="30"/>
      <c r="F104" s="1557"/>
      <c r="G104" s="913"/>
      <c r="H104" s="913"/>
      <c r="I104" s="913"/>
      <c r="K104" s="3"/>
    </row>
    <row r="105" spans="1:11" s="874" customFormat="1" ht="15.75">
      <c r="A105" s="1794" t="s">
        <v>80</v>
      </c>
      <c r="B105" s="1794"/>
      <c r="C105" s="1794"/>
      <c r="D105" s="1794"/>
      <c r="E105" s="1794"/>
      <c r="F105" s="1794"/>
      <c r="G105" s="1794"/>
      <c r="H105" s="1794"/>
      <c r="I105" s="1794"/>
      <c r="K105" s="52"/>
    </row>
    <row r="106" spans="1:11" s="876" customFormat="1" ht="12.75" thickBot="1">
      <c r="A106" s="875" t="s">
        <v>279</v>
      </c>
      <c r="C106" s="36"/>
      <c r="D106" s="36"/>
      <c r="E106" s="36"/>
      <c r="F106" s="1548"/>
      <c r="I106" s="877" t="s">
        <v>281</v>
      </c>
      <c r="K106" s="36"/>
    </row>
    <row r="107" spans="1:11" s="119" customFormat="1" ht="48.75" thickBot="1">
      <c r="A107" s="878" t="s">
        <v>17</v>
      </c>
      <c r="B107" s="914" t="s">
        <v>329</v>
      </c>
      <c r="C107" s="1572" t="s">
        <v>1553</v>
      </c>
      <c r="D107" s="1571" t="s">
        <v>1554</v>
      </c>
      <c r="E107" s="6" t="s">
        <v>2646</v>
      </c>
      <c r="F107" s="1549" t="s">
        <v>2645</v>
      </c>
      <c r="G107" s="5" t="s">
        <v>51</v>
      </c>
      <c r="H107" s="6" t="s">
        <v>52</v>
      </c>
      <c r="I107" s="7" t="s">
        <v>53</v>
      </c>
      <c r="K107" s="3"/>
    </row>
    <row r="108" spans="1:11" s="119" customFormat="1" ht="13.5" customHeight="1" thickBot="1">
      <c r="A108" s="915" t="s">
        <v>253</v>
      </c>
      <c r="B108" s="916" t="s">
        <v>254</v>
      </c>
      <c r="C108" s="1795" t="s">
        <v>255</v>
      </c>
      <c r="D108" s="1796"/>
      <c r="E108" s="1796"/>
      <c r="F108" s="1796"/>
      <c r="G108" s="1796"/>
      <c r="H108" s="1796"/>
      <c r="I108" s="1797"/>
      <c r="K108" s="3"/>
    </row>
    <row r="109" spans="1:11" s="119" customFormat="1" ht="12.75" thickBot="1">
      <c r="A109" s="884" t="s">
        <v>4</v>
      </c>
      <c r="B109" s="905" t="s">
        <v>308</v>
      </c>
      <c r="C109" s="1103">
        <f>+C110+C114+C116+C123+C132</f>
        <v>14510</v>
      </c>
      <c r="D109" s="28">
        <f>+D110+D114+D116+D123+D132</f>
        <v>10158</v>
      </c>
      <c r="E109" s="28">
        <f>+E110+E114+E116+E123+E132</f>
        <v>10152</v>
      </c>
      <c r="F109" s="1558">
        <f t="shared" ref="F109:F172" si="6">IF(ISERROR(E109/D109),"-",E109/D109)</f>
        <v>0.99940933254577669</v>
      </c>
      <c r="G109" s="110">
        <f>+G110+G114+G116+G123+G132</f>
        <v>0</v>
      </c>
      <c r="H109" s="111">
        <f>+H110+H114+H116+H123+H132</f>
        <v>10152</v>
      </c>
      <c r="I109" s="112">
        <f>+I110+I114+I116+I123+I132</f>
        <v>0</v>
      </c>
      <c r="K109" s="3">
        <f t="shared" ref="K109:K172" si="7">+E109-G109-H109-I109</f>
        <v>0</v>
      </c>
    </row>
    <row r="110" spans="1:11" s="119" customFormat="1" ht="12.75" thickBot="1">
      <c r="A110" s="884" t="s">
        <v>5</v>
      </c>
      <c r="B110" s="891" t="s">
        <v>309</v>
      </c>
      <c r="C110" s="1103">
        <f>+C112+C113</f>
        <v>8952</v>
      </c>
      <c r="D110" s="28">
        <f>+D112+D113</f>
        <v>7643</v>
      </c>
      <c r="E110" s="28">
        <f>+E112+E113</f>
        <v>7643</v>
      </c>
      <c r="F110" s="1558">
        <f t="shared" si="6"/>
        <v>1</v>
      </c>
      <c r="G110" s="110">
        <f>+G112+G113</f>
        <v>0</v>
      </c>
      <c r="H110" s="111">
        <f>+H112+H113</f>
        <v>7643</v>
      </c>
      <c r="I110" s="112">
        <f>+I112+I113</f>
        <v>0</v>
      </c>
      <c r="K110" s="3">
        <f t="shared" si="7"/>
        <v>0</v>
      </c>
    </row>
    <row r="111" spans="1:11" s="876" customFormat="1">
      <c r="A111" s="917" t="s">
        <v>349</v>
      </c>
      <c r="B111" s="918" t="s">
        <v>350</v>
      </c>
      <c r="C111" s="1110"/>
      <c r="D111" s="97"/>
      <c r="E111" s="97"/>
      <c r="F111" s="1559" t="str">
        <f t="shared" si="6"/>
        <v>-</v>
      </c>
      <c r="G111" s="919"/>
      <c r="H111" s="920"/>
      <c r="I111" s="921"/>
      <c r="K111" s="36">
        <f t="shared" si="7"/>
        <v>0</v>
      </c>
    </row>
    <row r="112" spans="1:11">
      <c r="A112" s="892" t="s">
        <v>54</v>
      </c>
      <c r="B112" s="113" t="s">
        <v>127</v>
      </c>
      <c r="C112" s="1104">
        <v>8952</v>
      </c>
      <c r="D112" s="10">
        <v>7643</v>
      </c>
      <c r="E112" s="10">
        <v>7643</v>
      </c>
      <c r="F112" s="1560">
        <f t="shared" si="6"/>
        <v>1</v>
      </c>
      <c r="G112" s="114"/>
      <c r="H112" s="115">
        <v>7643</v>
      </c>
      <c r="I112" s="116"/>
      <c r="K112" s="4">
        <f t="shared" si="7"/>
        <v>0</v>
      </c>
    </row>
    <row r="113" spans="1:11" ht="12.75" thickBot="1">
      <c r="A113" s="898" t="s">
        <v>55</v>
      </c>
      <c r="B113" s="899" t="s">
        <v>128</v>
      </c>
      <c r="C113" s="1107"/>
      <c r="D113" s="22"/>
      <c r="E113" s="22"/>
      <c r="F113" s="1561" t="str">
        <f t="shared" si="6"/>
        <v>-</v>
      </c>
      <c r="G113" s="869"/>
      <c r="H113" s="870"/>
      <c r="I113" s="871"/>
      <c r="K113" s="4">
        <f t="shared" si="7"/>
        <v>0</v>
      </c>
    </row>
    <row r="114" spans="1:11" s="119" customFormat="1" ht="12.75" thickBot="1">
      <c r="A114" s="884" t="s">
        <v>6</v>
      </c>
      <c r="B114" s="891" t="s">
        <v>256</v>
      </c>
      <c r="C114" s="1103">
        <v>1433</v>
      </c>
      <c r="D114" s="28">
        <v>1373</v>
      </c>
      <c r="E114" s="28">
        <v>1373</v>
      </c>
      <c r="F114" s="1558">
        <f t="shared" si="6"/>
        <v>1</v>
      </c>
      <c r="G114" s="110"/>
      <c r="H114" s="111">
        <v>1373</v>
      </c>
      <c r="I114" s="112"/>
      <c r="K114" s="3">
        <f t="shared" si="7"/>
        <v>0</v>
      </c>
    </row>
    <row r="115" spans="1:11" s="876" customFormat="1" ht="12.75" thickBot="1">
      <c r="A115" s="917" t="s">
        <v>346</v>
      </c>
      <c r="B115" s="918" t="s">
        <v>347</v>
      </c>
      <c r="C115" s="1110"/>
      <c r="D115" s="97"/>
      <c r="E115" s="97"/>
      <c r="F115" s="1559" t="str">
        <f t="shared" si="6"/>
        <v>-</v>
      </c>
      <c r="G115" s="919"/>
      <c r="H115" s="920"/>
      <c r="I115" s="921"/>
      <c r="K115" s="36">
        <f t="shared" si="7"/>
        <v>0</v>
      </c>
    </row>
    <row r="116" spans="1:11" s="119" customFormat="1" ht="12.75" thickBot="1">
      <c r="A116" s="884" t="s">
        <v>3</v>
      </c>
      <c r="B116" s="891" t="s">
        <v>343</v>
      </c>
      <c r="C116" s="1103">
        <f>+C118+C119+C120+C121+C122</f>
        <v>1035</v>
      </c>
      <c r="D116" s="28">
        <f>+D118+D119+D120+D121+D122</f>
        <v>1127</v>
      </c>
      <c r="E116" s="28">
        <f>+E118+E119+E120+E121+E122</f>
        <v>1121</v>
      </c>
      <c r="F116" s="1558">
        <f t="shared" si="6"/>
        <v>0.99467613132209409</v>
      </c>
      <c r="G116" s="110">
        <f>+G118+G119+G120+G121+G122</f>
        <v>0</v>
      </c>
      <c r="H116" s="111">
        <f>+H118+H119+H120+H121+H122</f>
        <v>1121</v>
      </c>
      <c r="I116" s="112">
        <f>+I118+I119+I120+I121+I122</f>
        <v>0</v>
      </c>
      <c r="K116" s="3">
        <f t="shared" si="7"/>
        <v>0</v>
      </c>
    </row>
    <row r="117" spans="1:11" s="876" customFormat="1">
      <c r="A117" s="917" t="s">
        <v>341</v>
      </c>
      <c r="B117" s="918" t="s">
        <v>348</v>
      </c>
      <c r="C117" s="1110"/>
      <c r="D117" s="97"/>
      <c r="E117" s="97"/>
      <c r="F117" s="1559" t="str">
        <f t="shared" si="6"/>
        <v>-</v>
      </c>
      <c r="G117" s="919"/>
      <c r="H117" s="920"/>
      <c r="I117" s="921"/>
      <c r="K117" s="36">
        <f t="shared" si="7"/>
        <v>0</v>
      </c>
    </row>
    <row r="118" spans="1:11">
      <c r="A118" s="892" t="s">
        <v>61</v>
      </c>
      <c r="B118" s="113" t="s">
        <v>129</v>
      </c>
      <c r="C118" s="1104">
        <v>374</v>
      </c>
      <c r="D118" s="10">
        <v>291</v>
      </c>
      <c r="E118" s="10">
        <v>291</v>
      </c>
      <c r="F118" s="1560">
        <f t="shared" si="6"/>
        <v>1</v>
      </c>
      <c r="G118" s="114"/>
      <c r="H118" s="115">
        <v>291</v>
      </c>
      <c r="I118" s="116"/>
      <c r="K118" s="4">
        <f t="shared" si="7"/>
        <v>0</v>
      </c>
    </row>
    <row r="119" spans="1:11">
      <c r="A119" s="896" t="s">
        <v>62</v>
      </c>
      <c r="B119" s="897" t="s">
        <v>130</v>
      </c>
      <c r="C119" s="1106">
        <v>142</v>
      </c>
      <c r="D119" s="11">
        <v>0</v>
      </c>
      <c r="E119" s="11"/>
      <c r="F119" s="1562" t="str">
        <f t="shared" si="6"/>
        <v>-</v>
      </c>
      <c r="G119" s="866"/>
      <c r="H119" s="867"/>
      <c r="I119" s="868"/>
      <c r="K119" s="4">
        <f t="shared" si="7"/>
        <v>0</v>
      </c>
    </row>
    <row r="120" spans="1:11">
      <c r="A120" s="896" t="s">
        <v>63</v>
      </c>
      <c r="B120" s="897" t="s">
        <v>131</v>
      </c>
      <c r="C120" s="1106">
        <v>310</v>
      </c>
      <c r="D120" s="11">
        <f>91-1</f>
        <v>90</v>
      </c>
      <c r="E120" s="11">
        <v>84</v>
      </c>
      <c r="F120" s="1562">
        <f t="shared" si="6"/>
        <v>0.93333333333333335</v>
      </c>
      <c r="G120" s="866"/>
      <c r="H120" s="867">
        <v>84</v>
      </c>
      <c r="I120" s="868"/>
      <c r="K120" s="4">
        <f t="shared" si="7"/>
        <v>0</v>
      </c>
    </row>
    <row r="121" spans="1:11">
      <c r="A121" s="896" t="s">
        <v>64</v>
      </c>
      <c r="B121" s="897" t="s">
        <v>132</v>
      </c>
      <c r="C121" s="1106"/>
      <c r="D121" s="11">
        <v>665</v>
      </c>
      <c r="E121" s="11">
        <v>665</v>
      </c>
      <c r="F121" s="1562">
        <f t="shared" si="6"/>
        <v>1</v>
      </c>
      <c r="G121" s="866"/>
      <c r="H121" s="867">
        <v>665</v>
      </c>
      <c r="I121" s="868"/>
      <c r="K121" s="4">
        <f t="shared" si="7"/>
        <v>0</v>
      </c>
    </row>
    <row r="122" spans="1:11" ht="12.75" thickBot="1">
      <c r="A122" s="898" t="s">
        <v>65</v>
      </c>
      <c r="B122" s="899" t="s">
        <v>133</v>
      </c>
      <c r="C122" s="1107">
        <v>209</v>
      </c>
      <c r="D122" s="22">
        <v>81</v>
      </c>
      <c r="E122" s="22">
        <v>81</v>
      </c>
      <c r="F122" s="1561">
        <f t="shared" si="6"/>
        <v>1</v>
      </c>
      <c r="G122" s="869"/>
      <c r="H122" s="870">
        <v>81</v>
      </c>
      <c r="I122" s="871"/>
      <c r="K122" s="4">
        <f t="shared" si="7"/>
        <v>0</v>
      </c>
    </row>
    <row r="123" spans="1:11" s="119" customFormat="1" ht="12.75" thickBot="1">
      <c r="A123" s="884" t="s">
        <v>16</v>
      </c>
      <c r="B123" s="891" t="s">
        <v>310</v>
      </c>
      <c r="C123" s="1103">
        <f>+C124+C125+C126+C127+C128+C129+C130+C131</f>
        <v>0</v>
      </c>
      <c r="D123" s="28">
        <f>+D124+D125+D126+D127+D128+D129+D130+D131</f>
        <v>0</v>
      </c>
      <c r="E123" s="28">
        <f>+E124+E125+E126+E127+E128+E129+E130+E131</f>
        <v>0</v>
      </c>
      <c r="F123" s="1558" t="str">
        <f t="shared" si="6"/>
        <v>-</v>
      </c>
      <c r="G123" s="110">
        <f>+G124+G125+G126+G127+G128+G129+G130+G131</f>
        <v>0</v>
      </c>
      <c r="H123" s="111">
        <f>+H124+H125+H126+H127+H128+H129+H130+H131</f>
        <v>0</v>
      </c>
      <c r="I123" s="112">
        <f>+I124+I125+I126+I127+I128+I129+I130+I131</f>
        <v>0</v>
      </c>
      <c r="K123" s="3">
        <f t="shared" si="7"/>
        <v>0</v>
      </c>
    </row>
    <row r="124" spans="1:11">
      <c r="A124" s="892" t="s">
        <v>227</v>
      </c>
      <c r="B124" s="113" t="s">
        <v>134</v>
      </c>
      <c r="C124" s="1104"/>
      <c r="D124" s="10"/>
      <c r="E124" s="10"/>
      <c r="F124" s="1560" t="str">
        <f t="shared" si="6"/>
        <v>-</v>
      </c>
      <c r="G124" s="114"/>
      <c r="H124" s="115"/>
      <c r="I124" s="116"/>
      <c r="K124" s="4">
        <f t="shared" si="7"/>
        <v>0</v>
      </c>
    </row>
    <row r="125" spans="1:11">
      <c r="A125" s="896" t="s">
        <v>228</v>
      </c>
      <c r="B125" s="897" t="s">
        <v>135</v>
      </c>
      <c r="C125" s="1106"/>
      <c r="D125" s="11"/>
      <c r="E125" s="11"/>
      <c r="F125" s="1562" t="str">
        <f t="shared" si="6"/>
        <v>-</v>
      </c>
      <c r="G125" s="866"/>
      <c r="H125" s="867"/>
      <c r="I125" s="868"/>
      <c r="K125" s="4">
        <f t="shared" si="7"/>
        <v>0</v>
      </c>
    </row>
    <row r="126" spans="1:11">
      <c r="A126" s="896" t="s">
        <v>229</v>
      </c>
      <c r="B126" s="897" t="s">
        <v>136</v>
      </c>
      <c r="C126" s="1106"/>
      <c r="D126" s="11"/>
      <c r="E126" s="11"/>
      <c r="F126" s="1562" t="str">
        <f t="shared" si="6"/>
        <v>-</v>
      </c>
      <c r="G126" s="866"/>
      <c r="H126" s="867"/>
      <c r="I126" s="868"/>
      <c r="K126" s="4">
        <f t="shared" si="7"/>
        <v>0</v>
      </c>
    </row>
    <row r="127" spans="1:11">
      <c r="A127" s="896" t="s">
        <v>257</v>
      </c>
      <c r="B127" s="897" t="s">
        <v>137</v>
      </c>
      <c r="C127" s="1106"/>
      <c r="D127" s="11"/>
      <c r="E127" s="11"/>
      <c r="F127" s="1562" t="str">
        <f t="shared" si="6"/>
        <v>-</v>
      </c>
      <c r="G127" s="866"/>
      <c r="H127" s="867"/>
      <c r="I127" s="868"/>
      <c r="K127" s="4">
        <f t="shared" si="7"/>
        <v>0</v>
      </c>
    </row>
    <row r="128" spans="1:11">
      <c r="A128" s="896" t="s">
        <v>258</v>
      </c>
      <c r="B128" s="897" t="s">
        <v>138</v>
      </c>
      <c r="C128" s="1106"/>
      <c r="D128" s="11"/>
      <c r="E128" s="11"/>
      <c r="F128" s="1562" t="str">
        <f t="shared" si="6"/>
        <v>-</v>
      </c>
      <c r="G128" s="866"/>
      <c r="H128" s="867"/>
      <c r="I128" s="868"/>
      <c r="K128" s="4">
        <f t="shared" si="7"/>
        <v>0</v>
      </c>
    </row>
    <row r="129" spans="1:11">
      <c r="A129" s="896" t="s">
        <v>259</v>
      </c>
      <c r="B129" s="897" t="s">
        <v>139</v>
      </c>
      <c r="C129" s="1106"/>
      <c r="D129" s="11"/>
      <c r="E129" s="11"/>
      <c r="F129" s="1562" t="str">
        <f t="shared" si="6"/>
        <v>-</v>
      </c>
      <c r="G129" s="866"/>
      <c r="H129" s="867"/>
      <c r="I129" s="868"/>
      <c r="K129" s="4">
        <f t="shared" si="7"/>
        <v>0</v>
      </c>
    </row>
    <row r="130" spans="1:11">
      <c r="A130" s="896" t="s">
        <v>260</v>
      </c>
      <c r="B130" s="897" t="s">
        <v>140</v>
      </c>
      <c r="C130" s="1106"/>
      <c r="D130" s="11"/>
      <c r="E130" s="11"/>
      <c r="F130" s="1562" t="str">
        <f t="shared" si="6"/>
        <v>-</v>
      </c>
      <c r="G130" s="866"/>
      <c r="H130" s="867"/>
      <c r="I130" s="868"/>
      <c r="K130" s="4">
        <f t="shared" si="7"/>
        <v>0</v>
      </c>
    </row>
    <row r="131" spans="1:11" ht="12.75" thickBot="1">
      <c r="A131" s="898" t="s">
        <v>261</v>
      </c>
      <c r="B131" s="899" t="s">
        <v>141</v>
      </c>
      <c r="C131" s="1107"/>
      <c r="D131" s="22"/>
      <c r="E131" s="22"/>
      <c r="F131" s="1561" t="str">
        <f t="shared" si="6"/>
        <v>-</v>
      </c>
      <c r="G131" s="869"/>
      <c r="H131" s="870"/>
      <c r="I131" s="871"/>
      <c r="K131" s="4">
        <f t="shared" si="7"/>
        <v>0</v>
      </c>
    </row>
    <row r="132" spans="1:11" s="119" customFormat="1" ht="12.75" thickBot="1">
      <c r="A132" s="884" t="s">
        <v>15</v>
      </c>
      <c r="B132" s="891" t="s">
        <v>927</v>
      </c>
      <c r="C132" s="1103">
        <f>+C133+C134+C135+C136+C137+C138+C140+C141+C142+C143+C144+C145+C146</f>
        <v>3090</v>
      </c>
      <c r="D132" s="28">
        <f>+D133+D134+D135+D136+D137+D138+D140+D141+D142+D143+D144+D145+D146</f>
        <v>15</v>
      </c>
      <c r="E132" s="28">
        <f>+E133+E134+E135+E136+E137+E138+E140+E141+E142+E143+E144+E145+E146</f>
        <v>15</v>
      </c>
      <c r="F132" s="1558">
        <f t="shared" si="6"/>
        <v>1</v>
      </c>
      <c r="G132" s="110">
        <f>+G133+G134+G135+G136+G137+G138+G140+G141+G142+G143+G144+G145+G146</f>
        <v>0</v>
      </c>
      <c r="H132" s="111">
        <f>+H133+H134+H135+H136+H137+H138+H140+H141+H142+H143+H144+H145+H146</f>
        <v>15</v>
      </c>
      <c r="I132" s="112">
        <f>+I133+I134+I135+I136+I137+I138+I140+I141+I142+I143+I144+I145+I146</f>
        <v>0</v>
      </c>
      <c r="K132" s="3">
        <f t="shared" si="7"/>
        <v>0</v>
      </c>
    </row>
    <row r="133" spans="1:11">
      <c r="A133" s="892" t="s">
        <v>87</v>
      </c>
      <c r="B133" s="113" t="s">
        <v>142</v>
      </c>
      <c r="C133" s="1104"/>
      <c r="D133" s="10"/>
      <c r="E133" s="10"/>
      <c r="F133" s="1560" t="str">
        <f t="shared" si="6"/>
        <v>-</v>
      </c>
      <c r="G133" s="114"/>
      <c r="H133" s="115"/>
      <c r="I133" s="116"/>
      <c r="K133" s="4">
        <f t="shared" si="7"/>
        <v>0</v>
      </c>
    </row>
    <row r="134" spans="1:11">
      <c r="A134" s="896" t="s">
        <v>88</v>
      </c>
      <c r="B134" s="897" t="s">
        <v>143</v>
      </c>
      <c r="C134" s="1106">
        <v>3090</v>
      </c>
      <c r="D134" s="11">
        <v>15</v>
      </c>
      <c r="E134" s="11">
        <v>15</v>
      </c>
      <c r="F134" s="1562">
        <f t="shared" si="6"/>
        <v>1</v>
      </c>
      <c r="G134" s="866"/>
      <c r="H134" s="867">
        <v>15</v>
      </c>
      <c r="I134" s="868"/>
      <c r="K134" s="4">
        <f t="shared" si="7"/>
        <v>0</v>
      </c>
    </row>
    <row r="135" spans="1:11">
      <c r="A135" s="896" t="s">
        <v>182</v>
      </c>
      <c r="B135" s="897" t="s">
        <v>144</v>
      </c>
      <c r="C135" s="1106"/>
      <c r="D135" s="11"/>
      <c r="E135" s="11"/>
      <c r="F135" s="1562" t="str">
        <f t="shared" si="6"/>
        <v>-</v>
      </c>
      <c r="G135" s="866"/>
      <c r="H135" s="867"/>
      <c r="I135" s="868"/>
      <c r="K135" s="4">
        <f t="shared" si="7"/>
        <v>0</v>
      </c>
    </row>
    <row r="136" spans="1:11">
      <c r="A136" s="896" t="s">
        <v>183</v>
      </c>
      <c r="B136" s="897" t="s">
        <v>145</v>
      </c>
      <c r="C136" s="1106"/>
      <c r="D136" s="11"/>
      <c r="E136" s="11"/>
      <c r="F136" s="1562" t="str">
        <f t="shared" si="6"/>
        <v>-</v>
      </c>
      <c r="G136" s="866"/>
      <c r="H136" s="867"/>
      <c r="I136" s="868"/>
      <c r="K136" s="4">
        <f t="shared" si="7"/>
        <v>0</v>
      </c>
    </row>
    <row r="137" spans="1:11">
      <c r="A137" s="896" t="s">
        <v>184</v>
      </c>
      <c r="B137" s="897" t="s">
        <v>146</v>
      </c>
      <c r="C137" s="1106"/>
      <c r="D137" s="11"/>
      <c r="E137" s="11"/>
      <c r="F137" s="1562" t="str">
        <f t="shared" si="6"/>
        <v>-</v>
      </c>
      <c r="G137" s="866"/>
      <c r="H137" s="867"/>
      <c r="I137" s="868"/>
      <c r="K137" s="4">
        <f t="shared" si="7"/>
        <v>0</v>
      </c>
    </row>
    <row r="138" spans="1:11">
      <c r="A138" s="896" t="s">
        <v>262</v>
      </c>
      <c r="B138" s="897" t="s">
        <v>147</v>
      </c>
      <c r="C138" s="1106"/>
      <c r="D138" s="11"/>
      <c r="E138" s="11"/>
      <c r="F138" s="1562" t="str">
        <f t="shared" si="6"/>
        <v>-</v>
      </c>
      <c r="G138" s="866"/>
      <c r="H138" s="867"/>
      <c r="I138" s="868"/>
      <c r="K138" s="4">
        <f t="shared" si="7"/>
        <v>0</v>
      </c>
    </row>
    <row r="139" spans="1:11" s="117" customFormat="1">
      <c r="A139" s="900" t="s">
        <v>336</v>
      </c>
      <c r="B139" s="901" t="s">
        <v>933</v>
      </c>
      <c r="C139" s="1108"/>
      <c r="D139" s="43"/>
      <c r="E139" s="43"/>
      <c r="F139" s="1561" t="str">
        <f t="shared" si="6"/>
        <v>-</v>
      </c>
      <c r="G139" s="902"/>
      <c r="H139" s="903"/>
      <c r="I139" s="904"/>
      <c r="K139" s="13">
        <f t="shared" si="7"/>
        <v>0</v>
      </c>
    </row>
    <row r="140" spans="1:11">
      <c r="A140" s="896" t="s">
        <v>263</v>
      </c>
      <c r="B140" s="897" t="s">
        <v>148</v>
      </c>
      <c r="C140" s="1106"/>
      <c r="D140" s="11"/>
      <c r="E140" s="11"/>
      <c r="F140" s="1562" t="str">
        <f t="shared" si="6"/>
        <v>-</v>
      </c>
      <c r="G140" s="866"/>
      <c r="H140" s="867"/>
      <c r="I140" s="868"/>
      <c r="K140" s="4">
        <f t="shared" si="7"/>
        <v>0</v>
      </c>
    </row>
    <row r="141" spans="1:11">
      <c r="A141" s="896" t="s">
        <v>264</v>
      </c>
      <c r="B141" s="897" t="s">
        <v>149</v>
      </c>
      <c r="C141" s="1106"/>
      <c r="D141" s="11"/>
      <c r="E141" s="11"/>
      <c r="F141" s="1562" t="str">
        <f t="shared" si="6"/>
        <v>-</v>
      </c>
      <c r="G141" s="866"/>
      <c r="H141" s="867"/>
      <c r="I141" s="868"/>
      <c r="K141" s="4">
        <f t="shared" si="7"/>
        <v>0</v>
      </c>
    </row>
    <row r="142" spans="1:11">
      <c r="A142" s="896" t="s">
        <v>265</v>
      </c>
      <c r="B142" s="897" t="s">
        <v>150</v>
      </c>
      <c r="C142" s="1106"/>
      <c r="D142" s="11"/>
      <c r="E142" s="11"/>
      <c r="F142" s="1562" t="str">
        <f t="shared" si="6"/>
        <v>-</v>
      </c>
      <c r="G142" s="866"/>
      <c r="H142" s="867"/>
      <c r="I142" s="868"/>
      <c r="K142" s="4">
        <f t="shared" si="7"/>
        <v>0</v>
      </c>
    </row>
    <row r="143" spans="1:11">
      <c r="A143" s="896" t="s">
        <v>266</v>
      </c>
      <c r="B143" s="897" t="s">
        <v>151</v>
      </c>
      <c r="C143" s="1106"/>
      <c r="D143" s="11"/>
      <c r="E143" s="11"/>
      <c r="F143" s="1562" t="str">
        <f t="shared" si="6"/>
        <v>-</v>
      </c>
      <c r="G143" s="866"/>
      <c r="H143" s="867"/>
      <c r="I143" s="868"/>
      <c r="K143" s="4">
        <f t="shared" si="7"/>
        <v>0</v>
      </c>
    </row>
    <row r="144" spans="1:11">
      <c r="A144" s="896" t="s">
        <v>267</v>
      </c>
      <c r="B144" s="897" t="s">
        <v>928</v>
      </c>
      <c r="C144" s="1106"/>
      <c r="D144" s="11"/>
      <c r="E144" s="11"/>
      <c r="F144" s="1562" t="str">
        <f t="shared" si="6"/>
        <v>-</v>
      </c>
      <c r="G144" s="866"/>
      <c r="H144" s="867"/>
      <c r="I144" s="868"/>
      <c r="K144" s="4">
        <f t="shared" si="7"/>
        <v>0</v>
      </c>
    </row>
    <row r="145" spans="1:11">
      <c r="A145" s="896" t="s">
        <v>268</v>
      </c>
      <c r="B145" s="897" t="s">
        <v>929</v>
      </c>
      <c r="C145" s="1106"/>
      <c r="D145" s="11"/>
      <c r="E145" s="11"/>
      <c r="F145" s="1562" t="str">
        <f t="shared" si="6"/>
        <v>-</v>
      </c>
      <c r="G145" s="866"/>
      <c r="H145" s="867"/>
      <c r="I145" s="868"/>
      <c r="K145" s="4">
        <f t="shared" si="7"/>
        <v>0</v>
      </c>
    </row>
    <row r="146" spans="1:11">
      <c r="A146" s="898" t="s">
        <v>924</v>
      </c>
      <c r="B146" s="899" t="s">
        <v>930</v>
      </c>
      <c r="C146" s="1107">
        <f>+C147+C148</f>
        <v>0</v>
      </c>
      <c r="D146" s="22">
        <f>+D147+D148</f>
        <v>0</v>
      </c>
      <c r="E146" s="22">
        <f>+E147+E148</f>
        <v>0</v>
      </c>
      <c r="F146" s="1561" t="str">
        <f t="shared" si="6"/>
        <v>-</v>
      </c>
      <c r="G146" s="869">
        <f>+G147+G148</f>
        <v>0</v>
      </c>
      <c r="H146" s="870">
        <f>+H147+H148</f>
        <v>0</v>
      </c>
      <c r="I146" s="871">
        <f>+I147+I148</f>
        <v>0</v>
      </c>
      <c r="K146" s="4">
        <f t="shared" si="7"/>
        <v>0</v>
      </c>
    </row>
    <row r="147" spans="1:11" s="117" customFormat="1">
      <c r="A147" s="900" t="s">
        <v>925</v>
      </c>
      <c r="B147" s="922" t="s">
        <v>931</v>
      </c>
      <c r="C147" s="1108"/>
      <c r="D147" s="43"/>
      <c r="E147" s="43"/>
      <c r="F147" s="1561" t="str">
        <f t="shared" si="6"/>
        <v>-</v>
      </c>
      <c r="G147" s="902"/>
      <c r="H147" s="903"/>
      <c r="I147" s="904"/>
      <c r="K147" s="13">
        <f t="shared" si="7"/>
        <v>0</v>
      </c>
    </row>
    <row r="148" spans="1:11" s="117" customFormat="1" ht="12.75" thickBot="1">
      <c r="A148" s="900" t="s">
        <v>926</v>
      </c>
      <c r="B148" s="922" t="s">
        <v>932</v>
      </c>
      <c r="C148" s="1108"/>
      <c r="D148" s="43"/>
      <c r="E148" s="43"/>
      <c r="F148" s="1561" t="str">
        <f t="shared" si="6"/>
        <v>-</v>
      </c>
      <c r="G148" s="902"/>
      <c r="H148" s="903"/>
      <c r="I148" s="904"/>
      <c r="K148" s="13">
        <f t="shared" si="7"/>
        <v>0</v>
      </c>
    </row>
    <row r="149" spans="1:11" s="119" customFormat="1" ht="12.75" thickBot="1">
      <c r="A149" s="884" t="s">
        <v>14</v>
      </c>
      <c r="B149" s="905" t="s">
        <v>311</v>
      </c>
      <c r="C149" s="1103">
        <f>+C150+C159+C165</f>
        <v>1300</v>
      </c>
      <c r="D149" s="28">
        <f>+D150+D159+D165</f>
        <v>288</v>
      </c>
      <c r="E149" s="28">
        <f>+E150+E159+E165</f>
        <v>288</v>
      </c>
      <c r="F149" s="1558">
        <f t="shared" si="6"/>
        <v>1</v>
      </c>
      <c r="G149" s="110">
        <f>+G150+G159+G165</f>
        <v>0</v>
      </c>
      <c r="H149" s="111">
        <f>+H150+H159+H165</f>
        <v>288</v>
      </c>
      <c r="I149" s="112">
        <f>+I150+I159+I165</f>
        <v>0</v>
      </c>
      <c r="K149" s="3">
        <f t="shared" si="7"/>
        <v>0</v>
      </c>
    </row>
    <row r="150" spans="1:11" s="119" customFormat="1" ht="12.75" thickBot="1">
      <c r="A150" s="884" t="s">
        <v>13</v>
      </c>
      <c r="B150" s="891" t="s">
        <v>312</v>
      </c>
      <c r="C150" s="1103">
        <f>+C152+C153+C154+C155+C156+C157+C158</f>
        <v>1300</v>
      </c>
      <c r="D150" s="28">
        <f>+D152+D153+D154+D155+D156+D157+D158</f>
        <v>288</v>
      </c>
      <c r="E150" s="28">
        <f>+E152+E153+E154+E155+E156+E157+E158</f>
        <v>288</v>
      </c>
      <c r="F150" s="1558">
        <f t="shared" si="6"/>
        <v>1</v>
      </c>
      <c r="G150" s="110">
        <f>+G152+G153+G154+G155+G156+G157+G158</f>
        <v>0</v>
      </c>
      <c r="H150" s="111">
        <f>+H152+H153+H154+H155+H156+H157+H158</f>
        <v>288</v>
      </c>
      <c r="I150" s="112">
        <f>+I152+I153+I154+I155+I156+I157+I158</f>
        <v>0</v>
      </c>
      <c r="K150" s="3">
        <f t="shared" si="7"/>
        <v>0</v>
      </c>
    </row>
    <row r="151" spans="1:11" s="876" customFormat="1">
      <c r="A151" s="917" t="s">
        <v>934</v>
      </c>
      <c r="B151" s="918" t="s">
        <v>342</v>
      </c>
      <c r="C151" s="1110"/>
      <c r="D151" s="97"/>
      <c r="E151" s="97"/>
      <c r="F151" s="1559" t="str">
        <f t="shared" si="6"/>
        <v>-</v>
      </c>
      <c r="G151" s="919"/>
      <c r="H151" s="920"/>
      <c r="I151" s="921"/>
      <c r="K151" s="36">
        <f t="shared" si="7"/>
        <v>0</v>
      </c>
    </row>
    <row r="152" spans="1:11">
      <c r="A152" s="892" t="s">
        <v>66</v>
      </c>
      <c r="B152" s="113" t="s">
        <v>152</v>
      </c>
      <c r="C152" s="1104"/>
      <c r="D152" s="10"/>
      <c r="E152" s="10"/>
      <c r="F152" s="1560" t="str">
        <f t="shared" si="6"/>
        <v>-</v>
      </c>
      <c r="G152" s="114"/>
      <c r="H152" s="115"/>
      <c r="I152" s="116"/>
      <c r="K152" s="4">
        <f t="shared" si="7"/>
        <v>0</v>
      </c>
    </row>
    <row r="153" spans="1:11">
      <c r="A153" s="896" t="s">
        <v>67</v>
      </c>
      <c r="B153" s="897" t="s">
        <v>153</v>
      </c>
      <c r="C153" s="1106"/>
      <c r="D153" s="11"/>
      <c r="E153" s="11"/>
      <c r="F153" s="1562" t="str">
        <f t="shared" si="6"/>
        <v>-</v>
      </c>
      <c r="G153" s="866"/>
      <c r="H153" s="867"/>
      <c r="I153" s="868"/>
      <c r="K153" s="4">
        <f t="shared" si="7"/>
        <v>0</v>
      </c>
    </row>
    <row r="154" spans="1:11">
      <c r="A154" s="896" t="s">
        <v>68</v>
      </c>
      <c r="B154" s="897" t="s">
        <v>154</v>
      </c>
      <c r="C154" s="1106"/>
      <c r="D154" s="11"/>
      <c r="E154" s="11"/>
      <c r="F154" s="1562" t="str">
        <f t="shared" si="6"/>
        <v>-</v>
      </c>
      <c r="G154" s="866"/>
      <c r="H154" s="867"/>
      <c r="I154" s="868"/>
      <c r="K154" s="4">
        <f t="shared" si="7"/>
        <v>0</v>
      </c>
    </row>
    <row r="155" spans="1:11">
      <c r="A155" s="896" t="s">
        <v>230</v>
      </c>
      <c r="B155" s="897" t="s">
        <v>155</v>
      </c>
      <c r="C155" s="1106">
        <v>1024</v>
      </c>
      <c r="D155" s="11">
        <v>227</v>
      </c>
      <c r="E155" s="11">
        <v>227</v>
      </c>
      <c r="F155" s="1562">
        <f t="shared" si="6"/>
        <v>1</v>
      </c>
      <c r="G155" s="866"/>
      <c r="H155" s="867">
        <v>227</v>
      </c>
      <c r="I155" s="868"/>
      <c r="K155" s="4">
        <f t="shared" si="7"/>
        <v>0</v>
      </c>
    </row>
    <row r="156" spans="1:11">
      <c r="A156" s="896" t="s">
        <v>231</v>
      </c>
      <c r="B156" s="897" t="s">
        <v>156</v>
      </c>
      <c r="C156" s="1106"/>
      <c r="D156" s="11"/>
      <c r="E156" s="11"/>
      <c r="F156" s="1562" t="str">
        <f t="shared" si="6"/>
        <v>-</v>
      </c>
      <c r="G156" s="866"/>
      <c r="H156" s="867"/>
      <c r="I156" s="868"/>
      <c r="K156" s="4">
        <f t="shared" si="7"/>
        <v>0</v>
      </c>
    </row>
    <row r="157" spans="1:11">
      <c r="A157" s="896" t="s">
        <v>269</v>
      </c>
      <c r="B157" s="897" t="s">
        <v>157</v>
      </c>
      <c r="C157" s="1106"/>
      <c r="D157" s="11"/>
      <c r="E157" s="11"/>
      <c r="F157" s="1562" t="str">
        <f t="shared" si="6"/>
        <v>-</v>
      </c>
      <c r="G157" s="866"/>
      <c r="H157" s="867"/>
      <c r="I157" s="868"/>
      <c r="K157" s="4">
        <f t="shared" si="7"/>
        <v>0</v>
      </c>
    </row>
    <row r="158" spans="1:11" ht="12.75" thickBot="1">
      <c r="A158" s="898" t="s">
        <v>270</v>
      </c>
      <c r="B158" s="899" t="s">
        <v>158</v>
      </c>
      <c r="C158" s="1107">
        <v>276</v>
      </c>
      <c r="D158" s="22">
        <v>61</v>
      </c>
      <c r="E158" s="22">
        <v>61</v>
      </c>
      <c r="F158" s="1561">
        <f t="shared" si="6"/>
        <v>1</v>
      </c>
      <c r="G158" s="869"/>
      <c r="H158" s="870">
        <v>61</v>
      </c>
      <c r="I158" s="871"/>
      <c r="K158" s="4">
        <f t="shared" si="7"/>
        <v>0</v>
      </c>
    </row>
    <row r="159" spans="1:11" s="119" customFormat="1" ht="12.75" thickBot="1">
      <c r="A159" s="884" t="s">
        <v>12</v>
      </c>
      <c r="B159" s="891" t="s">
        <v>313</v>
      </c>
      <c r="C159" s="1103">
        <f>+C161+C162+C163+C164</f>
        <v>0</v>
      </c>
      <c r="D159" s="28">
        <f>+D161+D162+D163+D164</f>
        <v>0</v>
      </c>
      <c r="E159" s="28">
        <f>+E161+E162+E163+E164</f>
        <v>0</v>
      </c>
      <c r="F159" s="1558" t="str">
        <f t="shared" si="6"/>
        <v>-</v>
      </c>
      <c r="G159" s="110">
        <f>+G161+G162+G163+G164</f>
        <v>0</v>
      </c>
      <c r="H159" s="111">
        <f>+H161+H162+H163+H164</f>
        <v>0</v>
      </c>
      <c r="I159" s="112">
        <f>+I161+I162+I163+I164</f>
        <v>0</v>
      </c>
      <c r="K159" s="3">
        <f t="shared" si="7"/>
        <v>0</v>
      </c>
    </row>
    <row r="160" spans="1:11" s="876" customFormat="1">
      <c r="A160" s="917" t="s">
        <v>344</v>
      </c>
      <c r="B160" s="918" t="s">
        <v>345</v>
      </c>
      <c r="C160" s="1110"/>
      <c r="D160" s="97"/>
      <c r="E160" s="97"/>
      <c r="F160" s="1559" t="str">
        <f t="shared" si="6"/>
        <v>-</v>
      </c>
      <c r="G160" s="919"/>
      <c r="H160" s="920"/>
      <c r="I160" s="921"/>
      <c r="K160" s="36">
        <f t="shared" si="7"/>
        <v>0</v>
      </c>
    </row>
    <row r="161" spans="1:11">
      <c r="A161" s="892" t="s">
        <v>69</v>
      </c>
      <c r="B161" s="113" t="s">
        <v>159</v>
      </c>
      <c r="C161" s="1104"/>
      <c r="D161" s="10"/>
      <c r="E161" s="10"/>
      <c r="F161" s="1560" t="str">
        <f t="shared" si="6"/>
        <v>-</v>
      </c>
      <c r="G161" s="114"/>
      <c r="H161" s="115"/>
      <c r="I161" s="116"/>
      <c r="K161" s="4">
        <f t="shared" si="7"/>
        <v>0</v>
      </c>
    </row>
    <row r="162" spans="1:11">
      <c r="A162" s="896" t="s">
        <v>70</v>
      </c>
      <c r="B162" s="897" t="s">
        <v>160</v>
      </c>
      <c r="C162" s="1106"/>
      <c r="D162" s="11"/>
      <c r="E162" s="11"/>
      <c r="F162" s="1562" t="str">
        <f t="shared" si="6"/>
        <v>-</v>
      </c>
      <c r="G162" s="866"/>
      <c r="H162" s="867"/>
      <c r="I162" s="868"/>
      <c r="K162" s="4">
        <f t="shared" si="7"/>
        <v>0</v>
      </c>
    </row>
    <row r="163" spans="1:11">
      <c r="A163" s="896" t="s">
        <v>71</v>
      </c>
      <c r="B163" s="897" t="s">
        <v>161</v>
      </c>
      <c r="C163" s="1106"/>
      <c r="D163" s="11"/>
      <c r="E163" s="11"/>
      <c r="F163" s="1562" t="str">
        <f t="shared" si="6"/>
        <v>-</v>
      </c>
      <c r="G163" s="866"/>
      <c r="H163" s="867"/>
      <c r="I163" s="868"/>
      <c r="K163" s="4">
        <f t="shared" si="7"/>
        <v>0</v>
      </c>
    </row>
    <row r="164" spans="1:11" ht="12.75" thickBot="1">
      <c r="A164" s="898" t="s">
        <v>72</v>
      </c>
      <c r="B164" s="899" t="s">
        <v>162</v>
      </c>
      <c r="C164" s="1107"/>
      <c r="D164" s="22"/>
      <c r="E164" s="22"/>
      <c r="F164" s="1561" t="str">
        <f t="shared" si="6"/>
        <v>-</v>
      </c>
      <c r="G164" s="869"/>
      <c r="H164" s="870"/>
      <c r="I164" s="871"/>
      <c r="K164" s="4">
        <f t="shared" si="7"/>
        <v>0</v>
      </c>
    </row>
    <row r="165" spans="1:11" s="119" customFormat="1" ht="12.75" thickBot="1">
      <c r="A165" s="884" t="s">
        <v>11</v>
      </c>
      <c r="B165" s="891" t="s">
        <v>936</v>
      </c>
      <c r="C165" s="1103">
        <f>+C166+C167+C168+C169+C171+C172+C173+C174+C175</f>
        <v>0</v>
      </c>
      <c r="D165" s="28">
        <f>+D166+D167+D168+D169+D171+D172+D173+D174+D175</f>
        <v>0</v>
      </c>
      <c r="E165" s="28">
        <f>+E166+E167+E168+E169+E171+E172+E173+E174+E175</f>
        <v>0</v>
      </c>
      <c r="F165" s="1558" t="str">
        <f t="shared" si="6"/>
        <v>-</v>
      </c>
      <c r="G165" s="110">
        <f>+G166+G167+G168+G169+G171+G172+G173+G174+G175</f>
        <v>0</v>
      </c>
      <c r="H165" s="111">
        <f>+H166+H167+H168+H169+H171+H172+H173+H174+H175</f>
        <v>0</v>
      </c>
      <c r="I165" s="112">
        <f>+I166+I167+I168+I169+I171+I172+I173+I174+I175</f>
        <v>0</v>
      </c>
      <c r="K165" s="3">
        <f t="shared" si="7"/>
        <v>0</v>
      </c>
    </row>
    <row r="166" spans="1:11">
      <c r="A166" s="892" t="s">
        <v>271</v>
      </c>
      <c r="B166" s="113" t="s">
        <v>163</v>
      </c>
      <c r="C166" s="1104"/>
      <c r="D166" s="10"/>
      <c r="E166" s="10"/>
      <c r="F166" s="1560" t="str">
        <f t="shared" si="6"/>
        <v>-</v>
      </c>
      <c r="G166" s="114"/>
      <c r="H166" s="115"/>
      <c r="I166" s="116"/>
      <c r="K166" s="4">
        <f t="shared" si="7"/>
        <v>0</v>
      </c>
    </row>
    <row r="167" spans="1:11">
      <c r="A167" s="896" t="s">
        <v>272</v>
      </c>
      <c r="B167" s="897" t="s">
        <v>164</v>
      </c>
      <c r="C167" s="1106"/>
      <c r="D167" s="11"/>
      <c r="E167" s="11"/>
      <c r="F167" s="1562" t="str">
        <f t="shared" si="6"/>
        <v>-</v>
      </c>
      <c r="G167" s="866"/>
      <c r="H167" s="867"/>
      <c r="I167" s="868"/>
      <c r="K167" s="4">
        <f t="shared" si="7"/>
        <v>0</v>
      </c>
    </row>
    <row r="168" spans="1:11">
      <c r="A168" s="896" t="s">
        <v>273</v>
      </c>
      <c r="B168" s="897" t="s">
        <v>165</v>
      </c>
      <c r="C168" s="1106"/>
      <c r="D168" s="11"/>
      <c r="E168" s="11"/>
      <c r="F168" s="1562" t="str">
        <f t="shared" si="6"/>
        <v>-</v>
      </c>
      <c r="G168" s="866"/>
      <c r="H168" s="867"/>
      <c r="I168" s="868"/>
      <c r="K168" s="4">
        <f t="shared" si="7"/>
        <v>0</v>
      </c>
    </row>
    <row r="169" spans="1:11">
      <c r="A169" s="896" t="s">
        <v>274</v>
      </c>
      <c r="B169" s="897" t="s">
        <v>166</v>
      </c>
      <c r="C169" s="1106"/>
      <c r="D169" s="11"/>
      <c r="E169" s="11"/>
      <c r="F169" s="1562" t="str">
        <f t="shared" si="6"/>
        <v>-</v>
      </c>
      <c r="G169" s="866"/>
      <c r="H169" s="867"/>
      <c r="I169" s="868"/>
      <c r="K169" s="4">
        <f t="shared" si="7"/>
        <v>0</v>
      </c>
    </row>
    <row r="170" spans="1:11" s="117" customFormat="1">
      <c r="A170" s="900" t="s">
        <v>339</v>
      </c>
      <c r="B170" s="901" t="s">
        <v>340</v>
      </c>
      <c r="C170" s="1108"/>
      <c r="D170" s="43"/>
      <c r="E170" s="43"/>
      <c r="F170" s="1561" t="str">
        <f t="shared" si="6"/>
        <v>-</v>
      </c>
      <c r="G170" s="902"/>
      <c r="H170" s="903"/>
      <c r="I170" s="904"/>
      <c r="K170" s="13">
        <f t="shared" si="7"/>
        <v>0</v>
      </c>
    </row>
    <row r="171" spans="1:11">
      <c r="A171" s="896" t="s">
        <v>275</v>
      </c>
      <c r="B171" s="897" t="s">
        <v>167</v>
      </c>
      <c r="C171" s="1106"/>
      <c r="D171" s="11"/>
      <c r="E171" s="11"/>
      <c r="F171" s="1562" t="str">
        <f t="shared" si="6"/>
        <v>-</v>
      </c>
      <c r="G171" s="866"/>
      <c r="H171" s="867"/>
      <c r="I171" s="868"/>
      <c r="K171" s="4">
        <f t="shared" si="7"/>
        <v>0</v>
      </c>
    </row>
    <row r="172" spans="1:11">
      <c r="A172" s="896" t="s">
        <v>276</v>
      </c>
      <c r="B172" s="897" t="s">
        <v>168</v>
      </c>
      <c r="C172" s="1106"/>
      <c r="D172" s="11"/>
      <c r="E172" s="11"/>
      <c r="F172" s="1562" t="str">
        <f t="shared" si="6"/>
        <v>-</v>
      </c>
      <c r="G172" s="866"/>
      <c r="H172" s="867"/>
      <c r="I172" s="868"/>
      <c r="K172" s="4">
        <f t="shared" si="7"/>
        <v>0</v>
      </c>
    </row>
    <row r="173" spans="1:11">
      <c r="A173" s="896" t="s">
        <v>277</v>
      </c>
      <c r="B173" s="897" t="s">
        <v>169</v>
      </c>
      <c r="C173" s="1106"/>
      <c r="D173" s="11"/>
      <c r="E173" s="11"/>
      <c r="F173" s="1562" t="str">
        <f t="shared" ref="F173:F208" si="8">IF(ISERROR(E173/D173),"-",E173/D173)</f>
        <v>-</v>
      </c>
      <c r="G173" s="866"/>
      <c r="H173" s="867"/>
      <c r="I173" s="868"/>
      <c r="K173" s="4">
        <f t="shared" ref="K173:K208" si="9">+E173-G173-H173-I173</f>
        <v>0</v>
      </c>
    </row>
    <row r="174" spans="1:11">
      <c r="A174" s="896" t="s">
        <v>278</v>
      </c>
      <c r="B174" s="897" t="s">
        <v>937</v>
      </c>
      <c r="C174" s="1106"/>
      <c r="D174" s="11"/>
      <c r="E174" s="11"/>
      <c r="F174" s="1562" t="str">
        <f t="shared" si="8"/>
        <v>-</v>
      </c>
      <c r="G174" s="866"/>
      <c r="H174" s="867"/>
      <c r="I174" s="868"/>
      <c r="K174" s="4">
        <f t="shared" si="9"/>
        <v>0</v>
      </c>
    </row>
    <row r="175" spans="1:11" ht="12.75" thickBot="1">
      <c r="A175" s="898" t="s">
        <v>935</v>
      </c>
      <c r="B175" s="899" t="s">
        <v>938</v>
      </c>
      <c r="C175" s="1107"/>
      <c r="D175" s="22"/>
      <c r="E175" s="22"/>
      <c r="F175" s="1561" t="str">
        <f t="shared" si="8"/>
        <v>-</v>
      </c>
      <c r="G175" s="869"/>
      <c r="H175" s="870"/>
      <c r="I175" s="871"/>
      <c r="K175" s="4">
        <f t="shared" si="9"/>
        <v>0</v>
      </c>
    </row>
    <row r="176" spans="1:11" s="119" customFormat="1" ht="12.75" thickBot="1">
      <c r="A176" s="884" t="s">
        <v>10</v>
      </c>
      <c r="B176" s="905" t="s">
        <v>314</v>
      </c>
      <c r="C176" s="1103">
        <f>+C109+C149</f>
        <v>15810</v>
      </c>
      <c r="D176" s="28">
        <f>+D109+D149</f>
        <v>10446</v>
      </c>
      <c r="E176" s="28">
        <f>+E109+E149</f>
        <v>10440</v>
      </c>
      <c r="F176" s="1558">
        <f t="shared" si="8"/>
        <v>0.99942561746122915</v>
      </c>
      <c r="G176" s="110">
        <f>+G109+G149</f>
        <v>0</v>
      </c>
      <c r="H176" s="111">
        <f>+H109+H149</f>
        <v>10440</v>
      </c>
      <c r="I176" s="112">
        <f>+I109+I149</f>
        <v>0</v>
      </c>
      <c r="K176" s="3">
        <f t="shared" si="9"/>
        <v>0</v>
      </c>
    </row>
    <row r="177" spans="1:11" s="119" customFormat="1" ht="12.75" thickBot="1">
      <c r="A177" s="884" t="s">
        <v>9</v>
      </c>
      <c r="B177" s="906" t="s">
        <v>315</v>
      </c>
      <c r="C177" s="1103">
        <f>+C178</f>
        <v>0</v>
      </c>
      <c r="D177" s="28">
        <f>+D178</f>
        <v>0</v>
      </c>
      <c r="E177" s="28">
        <f>+E178</f>
        <v>0</v>
      </c>
      <c r="F177" s="1558" t="str">
        <f t="shared" si="8"/>
        <v>-</v>
      </c>
      <c r="G177" s="110">
        <f>+G178</f>
        <v>0</v>
      </c>
      <c r="H177" s="111">
        <f>+H178</f>
        <v>0</v>
      </c>
      <c r="I177" s="112">
        <f>+I178</f>
        <v>0</v>
      </c>
      <c r="K177" s="3">
        <f t="shared" si="9"/>
        <v>0</v>
      </c>
    </row>
    <row r="178" spans="1:11" s="119" customFormat="1" ht="12.75" thickBot="1">
      <c r="A178" s="884" t="s">
        <v>45</v>
      </c>
      <c r="B178" s="891" t="s">
        <v>945</v>
      </c>
      <c r="C178" s="1103">
        <f>+C179+C189+C190+C191</f>
        <v>0</v>
      </c>
      <c r="D178" s="28">
        <f>+D179+D189+D190+D191</f>
        <v>0</v>
      </c>
      <c r="E178" s="28">
        <f>+E179+E189+E190+E191</f>
        <v>0</v>
      </c>
      <c r="F178" s="1558" t="str">
        <f t="shared" si="8"/>
        <v>-</v>
      </c>
      <c r="G178" s="110">
        <f>+G179+G189+G190+G191</f>
        <v>0</v>
      </c>
      <c r="H178" s="111">
        <f>+H179+H189+H190+H191</f>
        <v>0</v>
      </c>
      <c r="I178" s="112">
        <f>+I179+I189+I190+I191</f>
        <v>0</v>
      </c>
      <c r="K178" s="3">
        <f t="shared" si="9"/>
        <v>0</v>
      </c>
    </row>
    <row r="179" spans="1:11">
      <c r="A179" s="892" t="s">
        <v>75</v>
      </c>
      <c r="B179" s="113" t="s">
        <v>946</v>
      </c>
      <c r="C179" s="1104">
        <f>+C180+C181+C182+C183+C184+C185+C186+C187+C188</f>
        <v>0</v>
      </c>
      <c r="D179" s="10">
        <f>+D180+D181+D182+D183+D184+D185+D186+D187+D188</f>
        <v>0</v>
      </c>
      <c r="E179" s="10">
        <f>+E180+E181+E182+E183+E184+E185+E186+E187+E188</f>
        <v>0</v>
      </c>
      <c r="F179" s="1560" t="str">
        <f t="shared" si="8"/>
        <v>-</v>
      </c>
      <c r="G179" s="114">
        <f>+G180+G181+G182+G183+G184+G185+G186+G187+G188</f>
        <v>0</v>
      </c>
      <c r="H179" s="115">
        <f>+H180+H181+H182+H183+H184+H185+H186+H187+H188</f>
        <v>0</v>
      </c>
      <c r="I179" s="116">
        <f>+I180+I181+I182+I183+I184+I185+I186+I187+I188</f>
        <v>0</v>
      </c>
      <c r="K179" s="4">
        <f t="shared" si="9"/>
        <v>0</v>
      </c>
    </row>
    <row r="180" spans="1:11" s="117" customFormat="1">
      <c r="A180" s="108" t="s">
        <v>205</v>
      </c>
      <c r="B180" s="109" t="s">
        <v>170</v>
      </c>
      <c r="C180" s="1105"/>
      <c r="D180" s="12"/>
      <c r="E180" s="12"/>
      <c r="F180" s="1562" t="str">
        <f t="shared" si="8"/>
        <v>-</v>
      </c>
      <c r="G180" s="656"/>
      <c r="H180" s="657"/>
      <c r="I180" s="658"/>
      <c r="K180" s="13">
        <f t="shared" si="9"/>
        <v>0</v>
      </c>
    </row>
    <row r="181" spans="1:11" s="117" customFormat="1">
      <c r="A181" s="108" t="s">
        <v>206</v>
      </c>
      <c r="B181" s="109" t="s">
        <v>171</v>
      </c>
      <c r="C181" s="1105"/>
      <c r="D181" s="12"/>
      <c r="E181" s="12"/>
      <c r="F181" s="1562" t="str">
        <f t="shared" si="8"/>
        <v>-</v>
      </c>
      <c r="G181" s="656"/>
      <c r="H181" s="657"/>
      <c r="I181" s="658"/>
      <c r="K181" s="13">
        <f t="shared" si="9"/>
        <v>0</v>
      </c>
    </row>
    <row r="182" spans="1:11" s="117" customFormat="1">
      <c r="A182" s="108" t="s">
        <v>207</v>
      </c>
      <c r="B182" s="109" t="s">
        <v>172</v>
      </c>
      <c r="C182" s="1105"/>
      <c r="D182" s="12"/>
      <c r="E182" s="12"/>
      <c r="F182" s="1562" t="str">
        <f t="shared" si="8"/>
        <v>-</v>
      </c>
      <c r="G182" s="656"/>
      <c r="H182" s="657"/>
      <c r="I182" s="658"/>
      <c r="K182" s="13">
        <f t="shared" si="9"/>
        <v>0</v>
      </c>
    </row>
    <row r="183" spans="1:11" s="117" customFormat="1">
      <c r="A183" s="108" t="s">
        <v>208</v>
      </c>
      <c r="B183" s="109" t="s">
        <v>173</v>
      </c>
      <c r="C183" s="1105"/>
      <c r="D183" s="12"/>
      <c r="E183" s="12"/>
      <c r="F183" s="1562" t="str">
        <f t="shared" si="8"/>
        <v>-</v>
      </c>
      <c r="G183" s="656"/>
      <c r="H183" s="657"/>
      <c r="I183" s="658"/>
      <c r="K183" s="13">
        <f t="shared" si="9"/>
        <v>0</v>
      </c>
    </row>
    <row r="184" spans="1:11" s="117" customFormat="1">
      <c r="A184" s="108" t="s">
        <v>209</v>
      </c>
      <c r="B184" s="109" t="s">
        <v>174</v>
      </c>
      <c r="C184" s="1105"/>
      <c r="D184" s="12"/>
      <c r="E184" s="12"/>
      <c r="F184" s="1569" t="str">
        <f t="shared" si="8"/>
        <v>-</v>
      </c>
      <c r="G184" s="656"/>
      <c r="H184" s="657"/>
      <c r="I184" s="658"/>
      <c r="K184" s="117">
        <f t="shared" si="9"/>
        <v>0</v>
      </c>
    </row>
    <row r="185" spans="1:11" s="117" customFormat="1">
      <c r="A185" s="108" t="s">
        <v>210</v>
      </c>
      <c r="B185" s="109" t="s">
        <v>179</v>
      </c>
      <c r="C185" s="1105"/>
      <c r="D185" s="12"/>
      <c r="E185" s="12"/>
      <c r="F185" s="1562" t="str">
        <f t="shared" si="8"/>
        <v>-</v>
      </c>
      <c r="G185" s="656"/>
      <c r="H185" s="657"/>
      <c r="I185" s="658"/>
      <c r="K185" s="13">
        <f t="shared" si="9"/>
        <v>0</v>
      </c>
    </row>
    <row r="186" spans="1:11" s="117" customFormat="1">
      <c r="A186" s="108" t="s">
        <v>211</v>
      </c>
      <c r="B186" s="109" t="s">
        <v>175</v>
      </c>
      <c r="C186" s="1105"/>
      <c r="D186" s="12"/>
      <c r="E186" s="12"/>
      <c r="F186" s="1562" t="str">
        <f t="shared" si="8"/>
        <v>-</v>
      </c>
      <c r="G186" s="656"/>
      <c r="H186" s="657"/>
      <c r="I186" s="658"/>
      <c r="K186" s="13">
        <f t="shared" si="9"/>
        <v>0</v>
      </c>
    </row>
    <row r="187" spans="1:11" s="117" customFormat="1">
      <c r="A187" s="108" t="s">
        <v>212</v>
      </c>
      <c r="B187" s="109" t="s">
        <v>176</v>
      </c>
      <c r="C187" s="1105"/>
      <c r="D187" s="12"/>
      <c r="E187" s="12"/>
      <c r="F187" s="1562" t="str">
        <f t="shared" si="8"/>
        <v>-</v>
      </c>
      <c r="G187" s="656"/>
      <c r="H187" s="657"/>
      <c r="I187" s="658"/>
      <c r="K187" s="13">
        <f t="shared" si="9"/>
        <v>0</v>
      </c>
    </row>
    <row r="188" spans="1:11" s="117" customFormat="1">
      <c r="A188" s="108" t="s">
        <v>939</v>
      </c>
      <c r="B188" s="109" t="s">
        <v>941</v>
      </c>
      <c r="C188" s="1105"/>
      <c r="D188" s="12"/>
      <c r="E188" s="12"/>
      <c r="F188" s="1562" t="str">
        <f t="shared" si="8"/>
        <v>-</v>
      </c>
      <c r="G188" s="656"/>
      <c r="H188" s="657"/>
      <c r="I188" s="658"/>
      <c r="K188" s="13">
        <f t="shared" si="9"/>
        <v>0</v>
      </c>
    </row>
    <row r="189" spans="1:11">
      <c r="A189" s="896" t="s">
        <v>76</v>
      </c>
      <c r="B189" s="897" t="s">
        <v>177</v>
      </c>
      <c r="C189" s="1106"/>
      <c r="D189" s="11"/>
      <c r="E189" s="11"/>
      <c r="F189" s="1562" t="str">
        <f t="shared" si="8"/>
        <v>-</v>
      </c>
      <c r="G189" s="866"/>
      <c r="H189" s="867"/>
      <c r="I189" s="868"/>
      <c r="K189" s="4">
        <f t="shared" si="9"/>
        <v>0</v>
      </c>
    </row>
    <row r="190" spans="1:11">
      <c r="A190" s="898" t="s">
        <v>77</v>
      </c>
      <c r="B190" s="899" t="s">
        <v>178</v>
      </c>
      <c r="C190" s="1107"/>
      <c r="D190" s="22"/>
      <c r="E190" s="22"/>
      <c r="F190" s="1561" t="str">
        <f t="shared" si="8"/>
        <v>-</v>
      </c>
      <c r="G190" s="869"/>
      <c r="H190" s="870"/>
      <c r="I190" s="871"/>
      <c r="K190" s="4">
        <f t="shared" si="9"/>
        <v>0</v>
      </c>
    </row>
    <row r="191" spans="1:11" ht="12.75" thickBot="1">
      <c r="A191" s="898" t="s">
        <v>944</v>
      </c>
      <c r="B191" s="899" t="s">
        <v>942</v>
      </c>
      <c r="C191" s="1107"/>
      <c r="D191" s="22"/>
      <c r="E191" s="22"/>
      <c r="F191" s="1561" t="str">
        <f t="shared" si="8"/>
        <v>-</v>
      </c>
      <c r="G191" s="869"/>
      <c r="H191" s="870"/>
      <c r="I191" s="871"/>
      <c r="K191" s="4">
        <f t="shared" si="9"/>
        <v>0</v>
      </c>
    </row>
    <row r="192" spans="1:11" s="119" customFormat="1" ht="12.75" thickBot="1">
      <c r="A192" s="884" t="s">
        <v>44</v>
      </c>
      <c r="B192" s="905" t="s">
        <v>316</v>
      </c>
      <c r="C192" s="1103">
        <f>+C193</f>
        <v>0</v>
      </c>
      <c r="D192" s="28">
        <f>+D193</f>
        <v>0</v>
      </c>
      <c r="E192" s="28">
        <f>+E193</f>
        <v>0</v>
      </c>
      <c r="F192" s="1558" t="str">
        <f t="shared" si="8"/>
        <v>-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9"/>
        <v>0</v>
      </c>
    </row>
    <row r="193" spans="1:11" s="119" customFormat="1" ht="12.75" thickBot="1">
      <c r="A193" s="884" t="s">
        <v>43</v>
      </c>
      <c r="B193" s="891" t="s">
        <v>940</v>
      </c>
      <c r="C193" s="1103">
        <f>+C194+C204+C205+C206</f>
        <v>0</v>
      </c>
      <c r="D193" s="28">
        <f>+D194+D204+D205+D206</f>
        <v>0</v>
      </c>
      <c r="E193" s="28">
        <f>+E194+E204+E205+E206</f>
        <v>0</v>
      </c>
      <c r="F193" s="1558" t="str">
        <f t="shared" si="8"/>
        <v>-</v>
      </c>
      <c r="G193" s="110">
        <f>+G194+G204+G205+G206</f>
        <v>0</v>
      </c>
      <c r="H193" s="111">
        <f>+H194+H204+H205+H206</f>
        <v>0</v>
      </c>
      <c r="I193" s="112">
        <f>+I194+I204+I205+I206</f>
        <v>0</v>
      </c>
      <c r="K193" s="3">
        <f t="shared" si="9"/>
        <v>0</v>
      </c>
    </row>
    <row r="194" spans="1:11">
      <c r="A194" s="892" t="s">
        <v>78</v>
      </c>
      <c r="B194" s="113" t="s">
        <v>978</v>
      </c>
      <c r="C194" s="1104">
        <f>+C195+C196+C197+C198+C199+C200+C201+C202+C203</f>
        <v>0</v>
      </c>
      <c r="D194" s="10">
        <f>+D195+D196+D197+D198+D199+D200+D201+D202+D203</f>
        <v>0</v>
      </c>
      <c r="E194" s="10">
        <f>+E195+E196+E197+E198+E199+E200+E201+E202+E203</f>
        <v>0</v>
      </c>
      <c r="F194" s="1560" t="str">
        <f t="shared" si="8"/>
        <v>-</v>
      </c>
      <c r="G194" s="114">
        <f>+G195+G196+G197+G198+G199+G200+G201+G202+G203</f>
        <v>0</v>
      </c>
      <c r="H194" s="115">
        <f>+H195+H196+H197+H198+H199+H200+H201+H202+H203</f>
        <v>0</v>
      </c>
      <c r="I194" s="116">
        <f>+I195+I196+I197+I198+I199+I200+I201+I202+I203</f>
        <v>0</v>
      </c>
      <c r="K194" s="4">
        <f t="shared" si="9"/>
        <v>0</v>
      </c>
    </row>
    <row r="195" spans="1:11" s="117" customFormat="1">
      <c r="A195" s="108" t="s">
        <v>213</v>
      </c>
      <c r="B195" s="109" t="s">
        <v>170</v>
      </c>
      <c r="C195" s="1105"/>
      <c r="D195" s="12"/>
      <c r="E195" s="12"/>
      <c r="F195" s="1562" t="str">
        <f t="shared" si="8"/>
        <v>-</v>
      </c>
      <c r="G195" s="656"/>
      <c r="H195" s="657"/>
      <c r="I195" s="658"/>
      <c r="K195" s="13">
        <f t="shared" si="9"/>
        <v>0</v>
      </c>
    </row>
    <row r="196" spans="1:11" s="117" customFormat="1">
      <c r="A196" s="108" t="s">
        <v>214</v>
      </c>
      <c r="B196" s="109" t="s">
        <v>171</v>
      </c>
      <c r="C196" s="1105"/>
      <c r="D196" s="12"/>
      <c r="E196" s="12"/>
      <c r="F196" s="1562" t="str">
        <f t="shared" si="8"/>
        <v>-</v>
      </c>
      <c r="G196" s="656"/>
      <c r="H196" s="657"/>
      <c r="I196" s="658"/>
      <c r="K196" s="13">
        <f t="shared" si="9"/>
        <v>0</v>
      </c>
    </row>
    <row r="197" spans="1:11" s="117" customFormat="1">
      <c r="A197" s="108" t="s">
        <v>215</v>
      </c>
      <c r="B197" s="109" t="s">
        <v>172</v>
      </c>
      <c r="C197" s="1105"/>
      <c r="D197" s="12"/>
      <c r="E197" s="12"/>
      <c r="F197" s="1562" t="str">
        <f t="shared" si="8"/>
        <v>-</v>
      </c>
      <c r="G197" s="656"/>
      <c r="H197" s="657"/>
      <c r="I197" s="658"/>
      <c r="K197" s="13">
        <f t="shared" si="9"/>
        <v>0</v>
      </c>
    </row>
    <row r="198" spans="1:11" s="117" customFormat="1">
      <c r="A198" s="108" t="s">
        <v>216</v>
      </c>
      <c r="B198" s="109" t="s">
        <v>173</v>
      </c>
      <c r="C198" s="1105"/>
      <c r="D198" s="12"/>
      <c r="E198" s="12"/>
      <c r="F198" s="1562" t="str">
        <f t="shared" si="8"/>
        <v>-</v>
      </c>
      <c r="G198" s="656"/>
      <c r="H198" s="657"/>
      <c r="I198" s="658"/>
      <c r="K198" s="13">
        <f t="shared" si="9"/>
        <v>0</v>
      </c>
    </row>
    <row r="199" spans="1:11" s="117" customFormat="1">
      <c r="A199" s="108" t="s">
        <v>217</v>
      </c>
      <c r="B199" s="109" t="s">
        <v>174</v>
      </c>
      <c r="C199" s="1105"/>
      <c r="D199" s="12"/>
      <c r="E199" s="12"/>
      <c r="F199" s="1569" t="str">
        <f t="shared" si="8"/>
        <v>-</v>
      </c>
      <c r="G199" s="656"/>
      <c r="H199" s="657"/>
      <c r="I199" s="658"/>
      <c r="K199" s="117">
        <f t="shared" si="9"/>
        <v>0</v>
      </c>
    </row>
    <row r="200" spans="1:11" s="117" customFormat="1">
      <c r="A200" s="108" t="s">
        <v>218</v>
      </c>
      <c r="B200" s="109" t="s">
        <v>179</v>
      </c>
      <c r="C200" s="1105"/>
      <c r="D200" s="12"/>
      <c r="E200" s="12"/>
      <c r="F200" s="1562" t="str">
        <f t="shared" si="8"/>
        <v>-</v>
      </c>
      <c r="G200" s="656"/>
      <c r="H200" s="657"/>
      <c r="I200" s="658"/>
      <c r="K200" s="13">
        <f t="shared" si="9"/>
        <v>0</v>
      </c>
    </row>
    <row r="201" spans="1:11" s="117" customFormat="1">
      <c r="A201" s="108" t="s">
        <v>219</v>
      </c>
      <c r="B201" s="109" t="s">
        <v>175</v>
      </c>
      <c r="C201" s="1105"/>
      <c r="D201" s="12"/>
      <c r="E201" s="12"/>
      <c r="F201" s="1562" t="str">
        <f t="shared" si="8"/>
        <v>-</v>
      </c>
      <c r="G201" s="656"/>
      <c r="H201" s="657"/>
      <c r="I201" s="658"/>
      <c r="K201" s="13">
        <f t="shared" si="9"/>
        <v>0</v>
      </c>
    </row>
    <row r="202" spans="1:11" s="117" customFormat="1">
      <c r="A202" s="108" t="s">
        <v>220</v>
      </c>
      <c r="B202" s="109" t="s">
        <v>176</v>
      </c>
      <c r="C202" s="1105"/>
      <c r="D202" s="12"/>
      <c r="E202" s="12"/>
      <c r="F202" s="1562" t="str">
        <f t="shared" si="8"/>
        <v>-</v>
      </c>
      <c r="G202" s="656"/>
      <c r="H202" s="657"/>
      <c r="I202" s="658"/>
      <c r="K202" s="13">
        <f t="shared" si="9"/>
        <v>0</v>
      </c>
    </row>
    <row r="203" spans="1:11" s="117" customFormat="1">
      <c r="A203" s="108" t="s">
        <v>939</v>
      </c>
      <c r="B203" s="109" t="s">
        <v>941</v>
      </c>
      <c r="C203" s="1105"/>
      <c r="D203" s="12"/>
      <c r="E203" s="12"/>
      <c r="F203" s="1562" t="str">
        <f t="shared" si="8"/>
        <v>-</v>
      </c>
      <c r="G203" s="656"/>
      <c r="H203" s="657"/>
      <c r="I203" s="658"/>
      <c r="K203" s="13">
        <f t="shared" si="9"/>
        <v>0</v>
      </c>
    </row>
    <row r="204" spans="1:11">
      <c r="A204" s="896" t="s">
        <v>79</v>
      </c>
      <c r="B204" s="897" t="s">
        <v>177</v>
      </c>
      <c r="C204" s="1106"/>
      <c r="D204" s="11"/>
      <c r="E204" s="11"/>
      <c r="F204" s="1562" t="str">
        <f t="shared" si="8"/>
        <v>-</v>
      </c>
      <c r="G204" s="866"/>
      <c r="H204" s="867"/>
      <c r="I204" s="868"/>
      <c r="K204" s="4">
        <f t="shared" si="9"/>
        <v>0</v>
      </c>
    </row>
    <row r="205" spans="1:11">
      <c r="A205" s="898" t="s">
        <v>221</v>
      </c>
      <c r="B205" s="899" t="s">
        <v>178</v>
      </c>
      <c r="C205" s="1107"/>
      <c r="D205" s="22"/>
      <c r="E205" s="22"/>
      <c r="F205" s="1561" t="str">
        <f t="shared" si="8"/>
        <v>-</v>
      </c>
      <c r="G205" s="869"/>
      <c r="H205" s="870"/>
      <c r="I205" s="871"/>
      <c r="K205" s="4">
        <f t="shared" si="9"/>
        <v>0</v>
      </c>
    </row>
    <row r="206" spans="1:11" ht="12.75" thickBot="1">
      <c r="A206" s="898" t="s">
        <v>943</v>
      </c>
      <c r="B206" s="899" t="s">
        <v>942</v>
      </c>
      <c r="C206" s="1107"/>
      <c r="D206" s="22"/>
      <c r="E206" s="22"/>
      <c r="F206" s="1561" t="str">
        <f t="shared" si="8"/>
        <v>-</v>
      </c>
      <c r="G206" s="869"/>
      <c r="H206" s="870"/>
      <c r="I206" s="871"/>
      <c r="K206" s="4">
        <f t="shared" si="9"/>
        <v>0</v>
      </c>
    </row>
    <row r="207" spans="1:11" s="119" customFormat="1" ht="12.75" thickBot="1">
      <c r="A207" s="884" t="s">
        <v>40</v>
      </c>
      <c r="B207" s="905" t="s">
        <v>317</v>
      </c>
      <c r="C207" s="1103">
        <f>+C177+C192</f>
        <v>0</v>
      </c>
      <c r="D207" s="28">
        <f>+D177+D192</f>
        <v>0</v>
      </c>
      <c r="E207" s="28">
        <f>+E177+E192</f>
        <v>0</v>
      </c>
      <c r="F207" s="1558" t="str">
        <f t="shared" si="8"/>
        <v>-</v>
      </c>
      <c r="G207" s="110">
        <f>+G177+G192</f>
        <v>0</v>
      </c>
      <c r="H207" s="111">
        <f>+H177+H192</f>
        <v>0</v>
      </c>
      <c r="I207" s="112">
        <f>+I177+I192</f>
        <v>0</v>
      </c>
      <c r="K207" s="3">
        <f t="shared" si="9"/>
        <v>0</v>
      </c>
    </row>
    <row r="208" spans="1:11" s="119" customFormat="1" ht="12.75" thickBot="1">
      <c r="A208" s="907" t="s">
        <v>39</v>
      </c>
      <c r="B208" s="908" t="s">
        <v>335</v>
      </c>
      <c r="C208" s="1109">
        <f>+C176+C207</f>
        <v>15810</v>
      </c>
      <c r="D208" s="25">
        <f>+D176+D207</f>
        <v>10446</v>
      </c>
      <c r="E208" s="25">
        <f>+E176+E207</f>
        <v>10440</v>
      </c>
      <c r="F208" s="1564">
        <f t="shared" si="8"/>
        <v>0.99942561746122915</v>
      </c>
      <c r="G208" s="909">
        <f>+G176+G207</f>
        <v>0</v>
      </c>
      <c r="H208" s="910">
        <f>+H176+H207</f>
        <v>10440</v>
      </c>
      <c r="I208" s="911">
        <f>+I176+I207</f>
        <v>0</v>
      </c>
      <c r="K208" s="3">
        <f t="shared" si="9"/>
        <v>0</v>
      </c>
    </row>
    <row r="211" spans="1:32" s="1" customFormat="1" ht="15.75">
      <c r="A211" s="1790" t="s">
        <v>89</v>
      </c>
      <c r="B211" s="1790"/>
      <c r="C211" s="1790"/>
      <c r="D211" s="1790"/>
      <c r="E211" s="1790"/>
      <c r="F211" s="1790"/>
      <c r="G211" s="1790"/>
      <c r="H211" s="1790"/>
      <c r="I211" s="1790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s="876" customFormat="1" ht="12.75" thickBot="1">
      <c r="A212" s="875" t="s">
        <v>282</v>
      </c>
      <c r="C212" s="36"/>
      <c r="D212" s="36"/>
      <c r="E212" s="36"/>
      <c r="F212" s="1548"/>
      <c r="I212" s="877" t="s">
        <v>281</v>
      </c>
      <c r="K212" s="36"/>
    </row>
    <row r="213" spans="1:32" s="119" customFormat="1" ht="12.75" thickBot="1">
      <c r="A213" s="884" t="s">
        <v>4</v>
      </c>
      <c r="B213" s="905" t="s">
        <v>318</v>
      </c>
      <c r="C213" s="1103">
        <f>+C214+C215</f>
        <v>0</v>
      </c>
      <c r="D213" s="28">
        <f>+D214+D215</f>
        <v>-10446</v>
      </c>
      <c r="E213" s="28">
        <f>+E214+E215</f>
        <v>-10440</v>
      </c>
      <c r="F213" s="1558">
        <f>IF(ISERROR(E213/D213),"-",E213/D213)</f>
        <v>0.99942561746122915</v>
      </c>
      <c r="G213" s="110">
        <f>+G214+G215</f>
        <v>0</v>
      </c>
      <c r="H213" s="111">
        <f>+H214+H215</f>
        <v>-10440</v>
      </c>
      <c r="I213" s="112">
        <f>+I214+I215</f>
        <v>0</v>
      </c>
      <c r="K213" s="3">
        <f>+E213-G213-H213-I213</f>
        <v>0</v>
      </c>
    </row>
    <row r="214" spans="1:32">
      <c r="A214" s="892" t="s">
        <v>81</v>
      </c>
      <c r="B214" s="931" t="s">
        <v>319</v>
      </c>
      <c r="C214" s="1104">
        <f>+C10-C109</f>
        <v>1300</v>
      </c>
      <c r="D214" s="10">
        <f>+D10-D109</f>
        <v>-10158</v>
      </c>
      <c r="E214" s="10">
        <f>+E10-E109</f>
        <v>-10152</v>
      </c>
      <c r="F214" s="1560">
        <f>IF(ISERROR(E214/D214),"-",E214/D214)</f>
        <v>0.99940933254577669</v>
      </c>
      <c r="G214" s="114">
        <f>+G10-G109</f>
        <v>0</v>
      </c>
      <c r="H214" s="115">
        <f>+H10-H109</f>
        <v>-10152</v>
      </c>
      <c r="I214" s="116">
        <f>+I10-I109</f>
        <v>0</v>
      </c>
      <c r="K214" s="4">
        <f>+E214-G214-H214-I214</f>
        <v>0</v>
      </c>
    </row>
    <row r="215" spans="1:32" ht="12.75" thickBot="1">
      <c r="A215" s="932" t="s">
        <v>82</v>
      </c>
      <c r="B215" s="933" t="s">
        <v>320</v>
      </c>
      <c r="C215" s="1111">
        <f>+C50-C149</f>
        <v>-1300</v>
      </c>
      <c r="D215" s="17">
        <f>+D50-D149</f>
        <v>-288</v>
      </c>
      <c r="E215" s="17">
        <f>+E50-E149</f>
        <v>-288</v>
      </c>
      <c r="F215" s="1566">
        <f>IF(ISERROR(E215/D215),"-",E215/D215)</f>
        <v>1</v>
      </c>
      <c r="G215" s="934">
        <f>+G50-G149</f>
        <v>0</v>
      </c>
      <c r="H215" s="929">
        <f>+H50-H149</f>
        <v>-288</v>
      </c>
      <c r="I215" s="930">
        <f>+I50-I149</f>
        <v>0</v>
      </c>
      <c r="K215" s="4">
        <f>+E215-G215-H215-I215</f>
        <v>0</v>
      </c>
    </row>
    <row r="218" spans="1:32" s="1" customFormat="1" ht="15.75">
      <c r="A218" s="1790" t="s">
        <v>90</v>
      </c>
      <c r="B218" s="1790"/>
      <c r="C218" s="1790"/>
      <c r="D218" s="1790"/>
      <c r="E218" s="1790"/>
      <c r="F218" s="1790"/>
      <c r="G218" s="1790"/>
      <c r="H218" s="1790"/>
      <c r="I218" s="1790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s="876" customFormat="1" ht="12.75" thickBot="1">
      <c r="A219" s="875" t="s">
        <v>283</v>
      </c>
      <c r="C219" s="36"/>
      <c r="D219" s="36"/>
      <c r="E219" s="36"/>
      <c r="F219" s="1548"/>
      <c r="I219" s="877" t="s">
        <v>281</v>
      </c>
      <c r="K219" s="36"/>
    </row>
    <row r="220" spans="1:32" s="119" customFormat="1" ht="12.75" thickBot="1">
      <c r="A220" s="884" t="s">
        <v>4</v>
      </c>
      <c r="B220" s="905" t="s">
        <v>321</v>
      </c>
      <c r="C220" s="1103">
        <f>+C221+C228</f>
        <v>0</v>
      </c>
      <c r="D220" s="28">
        <f>+D221+D228</f>
        <v>10446</v>
      </c>
      <c r="E220" s="28">
        <f>+E221+E228</f>
        <v>10464</v>
      </c>
      <c r="F220" s="1558">
        <f t="shared" ref="F220:F234" si="10">IF(ISERROR(E220/D220),"-",E220/D220)</f>
        <v>1.0017231476163124</v>
      </c>
      <c r="G220" s="110">
        <f>+G221+G228</f>
        <v>0</v>
      </c>
      <c r="H220" s="111">
        <f>+H221+H228</f>
        <v>10464</v>
      </c>
      <c r="I220" s="112">
        <f>+I221+I228</f>
        <v>0</v>
      </c>
      <c r="K220" s="3">
        <f t="shared" ref="K220:K234" si="11">+E220-G220-H220-I220</f>
        <v>0</v>
      </c>
    </row>
    <row r="221" spans="1:32" s="119" customFormat="1" ht="12.75" thickBot="1">
      <c r="A221" s="884" t="s">
        <v>5</v>
      </c>
      <c r="B221" s="891" t="s">
        <v>322</v>
      </c>
      <c r="C221" s="1103">
        <f>+C222-C225</f>
        <v>-1300</v>
      </c>
      <c r="D221" s="28">
        <f>+D222-D225</f>
        <v>10158</v>
      </c>
      <c r="E221" s="28">
        <f>+E222-E225</f>
        <v>10176</v>
      </c>
      <c r="F221" s="1558">
        <f t="shared" si="10"/>
        <v>1.0017720023626697</v>
      </c>
      <c r="G221" s="110">
        <f>+G222-G225</f>
        <v>0</v>
      </c>
      <c r="H221" s="111">
        <f>+H222-H225</f>
        <v>10176</v>
      </c>
      <c r="I221" s="112">
        <f>+I222-I225</f>
        <v>0</v>
      </c>
      <c r="K221" s="3">
        <f t="shared" si="11"/>
        <v>0</v>
      </c>
    </row>
    <row r="222" spans="1:32">
      <c r="A222" s="892" t="s">
        <v>54</v>
      </c>
      <c r="B222" s="113" t="s">
        <v>323</v>
      </c>
      <c r="C222" s="1104">
        <f>+C223+C224</f>
        <v>-1300</v>
      </c>
      <c r="D222" s="10">
        <f>+D223+D224</f>
        <v>10158</v>
      </c>
      <c r="E222" s="10">
        <f>+E223+E224</f>
        <v>10176</v>
      </c>
      <c r="F222" s="1560">
        <f t="shared" si="10"/>
        <v>1.0017720023626697</v>
      </c>
      <c r="G222" s="114">
        <f>+G223+G224</f>
        <v>0</v>
      </c>
      <c r="H222" s="115">
        <f>+H223+H224</f>
        <v>10176</v>
      </c>
      <c r="I222" s="116">
        <f>+I223+I224</f>
        <v>0</v>
      </c>
      <c r="K222" s="4">
        <f t="shared" si="11"/>
        <v>0</v>
      </c>
    </row>
    <row r="223" spans="1:32" s="117" customFormat="1">
      <c r="A223" s="108" t="s">
        <v>190</v>
      </c>
      <c r="B223" s="109" t="s">
        <v>285</v>
      </c>
      <c r="C223" s="1105">
        <f>+C76+C80</f>
        <v>0</v>
      </c>
      <c r="D223" s="12">
        <f>+D76+D80</f>
        <v>15</v>
      </c>
      <c r="E223" s="12">
        <f>+E76+E80</f>
        <v>15</v>
      </c>
      <c r="F223" s="1562">
        <f t="shared" si="10"/>
        <v>1</v>
      </c>
      <c r="G223" s="656">
        <f>+G76+G80</f>
        <v>0</v>
      </c>
      <c r="H223" s="657">
        <f>+H76+H80</f>
        <v>15</v>
      </c>
      <c r="I223" s="658">
        <f>+I76+I80</f>
        <v>0</v>
      </c>
      <c r="K223" s="13">
        <f t="shared" si="11"/>
        <v>0</v>
      </c>
    </row>
    <row r="224" spans="1:32" s="117" customFormat="1">
      <c r="A224" s="108" t="s">
        <v>191</v>
      </c>
      <c r="B224" s="109" t="s">
        <v>286</v>
      </c>
      <c r="C224" s="1105">
        <f>+C74+C75+C77+C78+C79+C81</f>
        <v>-1300</v>
      </c>
      <c r="D224" s="12">
        <f>+D74+D75+D77+D78+D79+D81</f>
        <v>10143</v>
      </c>
      <c r="E224" s="12">
        <f>+E74+E75+E77+E78+E79+E81</f>
        <v>10161</v>
      </c>
      <c r="F224" s="1562">
        <f t="shared" si="10"/>
        <v>1.0017746228926354</v>
      </c>
      <c r="G224" s="656">
        <f>+G74+G75+G77+G78+G79+G81</f>
        <v>0</v>
      </c>
      <c r="H224" s="657">
        <f>+H74+H75+H77+H78+H79+H81</f>
        <v>10161</v>
      </c>
      <c r="I224" s="658">
        <f>+I74+I75+I77+I78+I79+I81</f>
        <v>0</v>
      </c>
      <c r="K224" s="13">
        <f t="shared" si="11"/>
        <v>0</v>
      </c>
    </row>
    <row r="225" spans="1:32">
      <c r="A225" s="896" t="s">
        <v>55</v>
      </c>
      <c r="B225" s="897" t="s">
        <v>324</v>
      </c>
      <c r="C225" s="1106">
        <f>+C227</f>
        <v>0</v>
      </c>
      <c r="D225" s="11">
        <f>+D227</f>
        <v>0</v>
      </c>
      <c r="E225" s="11">
        <f>+E227</f>
        <v>0</v>
      </c>
      <c r="F225" s="1562" t="str">
        <f t="shared" si="10"/>
        <v>-</v>
      </c>
      <c r="G225" s="866">
        <f>+G227</f>
        <v>0</v>
      </c>
      <c r="H225" s="867">
        <f>+H227</f>
        <v>0</v>
      </c>
      <c r="I225" s="868">
        <f>+I227</f>
        <v>0</v>
      </c>
      <c r="K225" s="4">
        <f t="shared" si="11"/>
        <v>0</v>
      </c>
    </row>
    <row r="226" spans="1:32" s="117" customFormat="1">
      <c r="A226" s="108" t="s">
        <v>56</v>
      </c>
      <c r="B226" s="109" t="s">
        <v>287</v>
      </c>
      <c r="C226" s="1105">
        <f>+C185</f>
        <v>0</v>
      </c>
      <c r="D226" s="12">
        <f>+D185</f>
        <v>0</v>
      </c>
      <c r="E226" s="12">
        <f>+E185</f>
        <v>0</v>
      </c>
      <c r="F226" s="1562" t="str">
        <f t="shared" si="10"/>
        <v>-</v>
      </c>
      <c r="G226" s="656">
        <f>+G185</f>
        <v>0</v>
      </c>
      <c r="H226" s="657">
        <f>+H185</f>
        <v>0</v>
      </c>
      <c r="I226" s="658">
        <f>+I185</f>
        <v>0</v>
      </c>
      <c r="K226" s="13">
        <f t="shared" si="11"/>
        <v>0</v>
      </c>
    </row>
    <row r="227" spans="1:32" s="117" customFormat="1" ht="12.75" thickBot="1">
      <c r="A227" s="900" t="s">
        <v>57</v>
      </c>
      <c r="B227" s="922" t="s">
        <v>288</v>
      </c>
      <c r="C227" s="1108">
        <f>+C180+C181+C182+C183+C184+C186+C187</f>
        <v>0</v>
      </c>
      <c r="D227" s="43">
        <f>+D180+D181+D182+D183+D184+D186+D187</f>
        <v>0</v>
      </c>
      <c r="E227" s="43">
        <f>+E180+E181+E182+E183+E184+E186+E187</f>
        <v>0</v>
      </c>
      <c r="F227" s="1561" t="str">
        <f t="shared" si="10"/>
        <v>-</v>
      </c>
      <c r="G227" s="902">
        <f>+G180+G181+G182+G183+G184+G186+G187</f>
        <v>0</v>
      </c>
      <c r="H227" s="903">
        <f>+H180+H181+H182+H183+H184+H186+H187</f>
        <v>0</v>
      </c>
      <c r="I227" s="904">
        <f>+I180+I181+I182+I183+I184+I186+I187</f>
        <v>0</v>
      </c>
      <c r="K227" s="13">
        <f t="shared" si="11"/>
        <v>0</v>
      </c>
    </row>
    <row r="228" spans="1:32" s="119" customFormat="1" ht="12.75" thickBot="1">
      <c r="A228" s="884" t="s">
        <v>6</v>
      </c>
      <c r="B228" s="891" t="s">
        <v>325</v>
      </c>
      <c r="C228" s="1103">
        <f>+C229-C232</f>
        <v>1300</v>
      </c>
      <c r="D228" s="28">
        <f>+D229-D232</f>
        <v>288</v>
      </c>
      <c r="E228" s="28">
        <f>+E229-E232</f>
        <v>288</v>
      </c>
      <c r="F228" s="1558">
        <f t="shared" si="10"/>
        <v>1</v>
      </c>
      <c r="G228" s="110">
        <f>+G229-G232</f>
        <v>0</v>
      </c>
      <c r="H228" s="111">
        <f>+H229-H232</f>
        <v>288</v>
      </c>
      <c r="I228" s="112">
        <f>+I229-I232</f>
        <v>0</v>
      </c>
      <c r="K228" s="3">
        <f t="shared" si="11"/>
        <v>0</v>
      </c>
    </row>
    <row r="229" spans="1:32">
      <c r="A229" s="892" t="s">
        <v>58</v>
      </c>
      <c r="B229" s="113" t="s">
        <v>326</v>
      </c>
      <c r="C229" s="1104">
        <f>+C230+C231</f>
        <v>1300</v>
      </c>
      <c r="D229" s="10">
        <f>+D230+D231</f>
        <v>288</v>
      </c>
      <c r="E229" s="10">
        <f>+E230+E231</f>
        <v>288</v>
      </c>
      <c r="F229" s="1560">
        <f t="shared" si="10"/>
        <v>1</v>
      </c>
      <c r="G229" s="114">
        <f>+G230+G231</f>
        <v>0</v>
      </c>
      <c r="H229" s="115">
        <f>+H230+H231</f>
        <v>288</v>
      </c>
      <c r="I229" s="116">
        <f>+I230+I231</f>
        <v>0</v>
      </c>
      <c r="K229" s="4">
        <f t="shared" si="11"/>
        <v>0</v>
      </c>
    </row>
    <row r="230" spans="1:32" s="117" customFormat="1">
      <c r="A230" s="108" t="s">
        <v>293</v>
      </c>
      <c r="B230" s="109" t="s">
        <v>291</v>
      </c>
      <c r="C230" s="1105">
        <f>+C91+C95</f>
        <v>0</v>
      </c>
      <c r="D230" s="12">
        <f>+D91+D95</f>
        <v>0</v>
      </c>
      <c r="E230" s="12">
        <f>+E91+E95</f>
        <v>0</v>
      </c>
      <c r="F230" s="1562" t="str">
        <f t="shared" si="10"/>
        <v>-</v>
      </c>
      <c r="G230" s="656">
        <f>+G91+G95</f>
        <v>0</v>
      </c>
      <c r="H230" s="657">
        <f>+H91+H95</f>
        <v>0</v>
      </c>
      <c r="I230" s="658">
        <f>+I91+I95</f>
        <v>0</v>
      </c>
      <c r="K230" s="13">
        <f t="shared" si="11"/>
        <v>0</v>
      </c>
    </row>
    <row r="231" spans="1:32" s="117" customFormat="1">
      <c r="A231" s="108" t="s">
        <v>294</v>
      </c>
      <c r="B231" s="109" t="s">
        <v>292</v>
      </c>
      <c r="C231" s="1105">
        <f>+C89+C90+C92+C93+C94+C96</f>
        <v>1300</v>
      </c>
      <c r="D231" s="12">
        <f>+D89+D90+D92+D93+D94+D96</f>
        <v>288</v>
      </c>
      <c r="E231" s="12">
        <f>+E89+E90+E92+E93+E94+E96</f>
        <v>288</v>
      </c>
      <c r="F231" s="1562">
        <f t="shared" si="10"/>
        <v>1</v>
      </c>
      <c r="G231" s="656">
        <f>+G89+G90+G92+G93+G94+G96</f>
        <v>0</v>
      </c>
      <c r="H231" s="657">
        <f>+H89+H90+H92+H93+H94+H96</f>
        <v>288</v>
      </c>
      <c r="I231" s="658">
        <f>+I89+I90+I92+I93+I94+I96</f>
        <v>0</v>
      </c>
      <c r="K231" s="13">
        <f t="shared" si="11"/>
        <v>0</v>
      </c>
    </row>
    <row r="232" spans="1:32">
      <c r="A232" s="896" t="s">
        <v>59</v>
      </c>
      <c r="B232" s="897" t="s">
        <v>327</v>
      </c>
      <c r="C232" s="1106">
        <f>+C233+C234</f>
        <v>0</v>
      </c>
      <c r="D232" s="11">
        <f>+D233+D234</f>
        <v>0</v>
      </c>
      <c r="E232" s="11">
        <f>+E233+E234</f>
        <v>0</v>
      </c>
      <c r="F232" s="1562" t="str">
        <f t="shared" si="10"/>
        <v>-</v>
      </c>
      <c r="G232" s="866">
        <f>+G233+G234</f>
        <v>0</v>
      </c>
      <c r="H232" s="867">
        <f>+H233+H234</f>
        <v>0</v>
      </c>
      <c r="I232" s="868">
        <f>+I233+I234</f>
        <v>0</v>
      </c>
      <c r="K232" s="4">
        <f t="shared" si="11"/>
        <v>0</v>
      </c>
    </row>
    <row r="233" spans="1:32" s="117" customFormat="1">
      <c r="A233" s="108" t="s">
        <v>295</v>
      </c>
      <c r="B233" s="109" t="s">
        <v>289</v>
      </c>
      <c r="C233" s="1105">
        <f>+C200</f>
        <v>0</v>
      </c>
      <c r="D233" s="12">
        <f>+D200</f>
        <v>0</v>
      </c>
      <c r="E233" s="12">
        <f>+E200</f>
        <v>0</v>
      </c>
      <c r="F233" s="1562" t="str">
        <f t="shared" si="10"/>
        <v>-</v>
      </c>
      <c r="G233" s="656">
        <f>+G200</f>
        <v>0</v>
      </c>
      <c r="H233" s="657">
        <f>+H200</f>
        <v>0</v>
      </c>
      <c r="I233" s="658">
        <f>+I200</f>
        <v>0</v>
      </c>
      <c r="K233" s="13">
        <f t="shared" si="11"/>
        <v>0</v>
      </c>
    </row>
    <row r="234" spans="1:32" s="117" customFormat="1" ht="12.75" thickBot="1">
      <c r="A234" s="935" t="s">
        <v>296</v>
      </c>
      <c r="B234" s="936" t="s">
        <v>290</v>
      </c>
      <c r="C234" s="1112">
        <f>+C195+C196+C197+C198+C199+C201+C202</f>
        <v>0</v>
      </c>
      <c r="D234" s="41">
        <f>+D195+D196+D197+D198+D199+D201+D202</f>
        <v>0</v>
      </c>
      <c r="E234" s="41">
        <f>+E195+E196+E197+E198+E199+E201+E202</f>
        <v>0</v>
      </c>
      <c r="F234" s="1566" t="str">
        <f t="shared" si="10"/>
        <v>-</v>
      </c>
      <c r="G234" s="937">
        <f>+G195+G196+G197+G198+G199+G201+G202</f>
        <v>0</v>
      </c>
      <c r="H234" s="938">
        <f>+H195+H196+H197+H198+H199+H201+H202</f>
        <v>0</v>
      </c>
      <c r="I234" s="939">
        <f>+I195+I196+I197+I198+I199+I201+I202</f>
        <v>0</v>
      </c>
      <c r="K234" s="13">
        <f t="shared" si="11"/>
        <v>0</v>
      </c>
    </row>
    <row r="237" spans="1:32" s="1" customFormat="1" ht="15.75">
      <c r="A237" s="1790" t="s">
        <v>1307</v>
      </c>
      <c r="B237" s="1790"/>
      <c r="C237" s="1790"/>
      <c r="D237" s="1790"/>
      <c r="E237" s="1790"/>
      <c r="F237" s="1790"/>
      <c r="G237" s="1790"/>
      <c r="H237" s="1790"/>
      <c r="I237" s="179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s="876" customFormat="1" ht="12.75" thickBot="1">
      <c r="A238" s="875" t="s">
        <v>284</v>
      </c>
      <c r="C238" s="36"/>
      <c r="D238" s="36"/>
      <c r="E238" s="36"/>
      <c r="F238" s="1548"/>
      <c r="I238" s="877"/>
      <c r="K238" s="36"/>
    </row>
    <row r="239" spans="1:32" s="119" customFormat="1">
      <c r="A239" s="940" t="s">
        <v>4</v>
      </c>
      <c r="B239" s="941" t="s">
        <v>91</v>
      </c>
      <c r="C239" s="1113">
        <v>3</v>
      </c>
      <c r="D239" s="55">
        <v>3</v>
      </c>
      <c r="E239" s="55">
        <v>3</v>
      </c>
      <c r="F239" s="1559">
        <f>IF(ISERROR(E239/D239),"-",E239/D239)</f>
        <v>1</v>
      </c>
      <c r="G239" s="942"/>
      <c r="H239" s="943">
        <v>3</v>
      </c>
      <c r="I239" s="944"/>
      <c r="K239" s="3">
        <f>+E239-G239-H239-I239</f>
        <v>0</v>
      </c>
    </row>
    <row r="240" spans="1:32" s="117" customFormat="1">
      <c r="A240" s="900" t="s">
        <v>351</v>
      </c>
      <c r="B240" s="945" t="s">
        <v>352</v>
      </c>
      <c r="C240" s="1114"/>
      <c r="D240" s="101"/>
      <c r="E240" s="101"/>
      <c r="F240" s="1561" t="str">
        <f>IF(ISERROR(E240/D240),"-",E240/D240)</f>
        <v>-</v>
      </c>
      <c r="G240" s="946"/>
      <c r="H240" s="947"/>
      <c r="I240" s="948"/>
      <c r="K240" s="13">
        <f>+E240-G240-H240-I240</f>
        <v>0</v>
      </c>
    </row>
    <row r="241" spans="1:11" s="119" customFormat="1" ht="12.75" thickBot="1">
      <c r="A241" s="949" t="s">
        <v>5</v>
      </c>
      <c r="B241" s="950" t="s">
        <v>92</v>
      </c>
      <c r="C241" s="1115"/>
      <c r="D241" s="58"/>
      <c r="E241" s="58"/>
      <c r="F241" s="1567" t="str">
        <f>IF(ISERROR(E241/D241),"-",E241/D241)</f>
        <v>-</v>
      </c>
      <c r="G241" s="951"/>
      <c r="H241" s="952"/>
      <c r="I241" s="953"/>
      <c r="K241" s="3">
        <f>+E241-G241-H241-I241</f>
        <v>0</v>
      </c>
    </row>
    <row r="242" spans="1:11" s="119" customFormat="1" ht="12.75" thickBot="1">
      <c r="A242" s="884" t="s">
        <v>6</v>
      </c>
      <c r="B242" s="905" t="s">
        <v>330</v>
      </c>
      <c r="C242" s="1116">
        <f>+C239+C241</f>
        <v>3</v>
      </c>
      <c r="D242" s="61">
        <f>+D239+D241</f>
        <v>3</v>
      </c>
      <c r="E242" s="61">
        <f>+E239+E241</f>
        <v>3</v>
      </c>
      <c r="F242" s="1558">
        <f>IF(ISERROR(E242/D242),"-",E242/D242)</f>
        <v>1</v>
      </c>
      <c r="G242" s="954">
        <f>+G239+G241</f>
        <v>0</v>
      </c>
      <c r="H242" s="955">
        <f>+H239+H241</f>
        <v>3</v>
      </c>
      <c r="I242" s="956">
        <f>+I239+I241</f>
        <v>0</v>
      </c>
      <c r="K242" s="3">
        <f>+E242-G242-H242-I242</f>
        <v>0</v>
      </c>
    </row>
  </sheetData>
  <mergeCells count="9">
    <mergeCell ref="A218:I218"/>
    <mergeCell ref="A237:I237"/>
    <mergeCell ref="A3:I3"/>
    <mergeCell ref="A4:I4"/>
    <mergeCell ref="A6:I6"/>
    <mergeCell ref="A105:I105"/>
    <mergeCell ref="A211:I211"/>
    <mergeCell ref="C9:I9"/>
    <mergeCell ref="C108:I108"/>
  </mergeCells>
  <conditionalFormatting sqref="F26:F31 F89:F100 F65:F69 F59:F63 F52:F57 F45:F49 F33:F43 F13:F24 F195:F206 F180:F191 F166:F175 F151:F158 F147:F148 F133:F145 F124:F131 F117:F122 F111:F115 F160:F164 F74:F85">
    <cfRule type="cellIs" dxfId="4" priority="2" stopIfTrue="1" operator="equal">
      <formula>0</formula>
    </cfRule>
  </conditionalFormatting>
  <conditionalFormatting sqref="F65:F69 F59:F63 F52:F57 F45:F49 F33:F43 F13:F24 F195:F206 F180:F191 F166:F175 F160:F164 F151:F158 F147:F148 F133:F145 F124:F131 F117:F122 F111:F115 F26:F31 F89:F100 F74:F85">
    <cfRule type="cellIs" dxfId="3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1.5. melléklet - &amp;P. oldal</oddHeader>
  </headerFooter>
  <rowBreaks count="1" manualBreakCount="1">
    <brk id="10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3">
    <tabColor rgb="FF00B0F0"/>
  </sheetPr>
  <dimension ref="A1:AF242"/>
  <sheetViews>
    <sheetView zoomScaleNormal="100" workbookViewId="0">
      <selection activeCell="B8" sqref="B8"/>
    </sheetView>
  </sheetViews>
  <sheetFormatPr defaultRowHeight="12"/>
  <cols>
    <col min="1" max="1" width="6.5703125" style="118" customWidth="1"/>
    <col min="2" max="2" width="109.5703125" style="118" bestFit="1" customWidth="1"/>
    <col min="3" max="5" width="9.28515625" style="4" customWidth="1"/>
    <col min="6" max="6" width="9.28515625" style="1565" customWidth="1"/>
    <col min="7" max="9" width="9.28515625" style="118" customWidth="1"/>
    <col min="10" max="10" width="9.140625" style="118" customWidth="1"/>
    <col min="11" max="11" width="9.140625" style="4" hidden="1" customWidth="1"/>
    <col min="12" max="12" width="9.140625" style="118" customWidth="1"/>
    <col min="13" max="16384" width="9.140625" style="118"/>
  </cols>
  <sheetData>
    <row r="1" spans="1:11" s="872" customFormat="1" ht="15.75">
      <c r="C1" s="50"/>
      <c r="D1" s="50"/>
      <c r="E1" s="50"/>
      <c r="F1" s="1547"/>
      <c r="I1" s="873" t="s">
        <v>1083</v>
      </c>
      <c r="K1" s="50"/>
    </row>
    <row r="2" spans="1:11" s="872" customFormat="1" ht="15.75">
      <c r="C2" s="50"/>
      <c r="D2" s="50"/>
      <c r="E2" s="50"/>
      <c r="F2" s="1547"/>
      <c r="K2" s="50"/>
    </row>
    <row r="3" spans="1:11" s="874" customFormat="1" ht="15.75">
      <c r="A3" s="1794" t="s">
        <v>1082</v>
      </c>
      <c r="B3" s="1794"/>
      <c r="C3" s="1794"/>
      <c r="D3" s="1794"/>
      <c r="E3" s="1794"/>
      <c r="F3" s="1794"/>
      <c r="G3" s="1794"/>
      <c r="H3" s="1794"/>
      <c r="I3" s="1794"/>
      <c r="K3" s="52"/>
    </row>
    <row r="4" spans="1:11" s="874" customFormat="1" ht="15.75">
      <c r="A4" s="1794" t="s">
        <v>1308</v>
      </c>
      <c r="B4" s="1794"/>
      <c r="C4" s="1794"/>
      <c r="D4" s="1794"/>
      <c r="E4" s="1794"/>
      <c r="F4" s="1794"/>
      <c r="G4" s="1794"/>
      <c r="H4" s="1794"/>
      <c r="I4" s="1794"/>
      <c r="K4" s="52"/>
    </row>
    <row r="5" spans="1:11" s="872" customFormat="1" ht="15.75">
      <c r="C5" s="50"/>
      <c r="D5" s="50"/>
      <c r="E5" s="50"/>
      <c r="F5" s="1547"/>
      <c r="K5" s="50"/>
    </row>
    <row r="6" spans="1:11" s="874" customFormat="1" ht="15.75">
      <c r="A6" s="1794" t="s">
        <v>48</v>
      </c>
      <c r="B6" s="1794"/>
      <c r="C6" s="1794"/>
      <c r="D6" s="1794"/>
      <c r="E6" s="1794"/>
      <c r="F6" s="1794"/>
      <c r="G6" s="1794"/>
      <c r="H6" s="1794"/>
      <c r="I6" s="1794"/>
      <c r="K6" s="52"/>
    </row>
    <row r="7" spans="1:11" s="876" customFormat="1" ht="12.75" thickBot="1">
      <c r="A7" s="875" t="s">
        <v>280</v>
      </c>
      <c r="C7" s="36"/>
      <c r="D7" s="36"/>
      <c r="E7" s="36"/>
      <c r="F7" s="1548"/>
      <c r="I7" s="877" t="s">
        <v>281</v>
      </c>
      <c r="K7" s="36"/>
    </row>
    <row r="8" spans="1:11" s="883" customFormat="1" ht="54" customHeight="1" thickBot="1">
      <c r="A8" s="878" t="s">
        <v>17</v>
      </c>
      <c r="B8" s="879" t="s">
        <v>328</v>
      </c>
      <c r="C8" s="1101" t="s">
        <v>1553</v>
      </c>
      <c r="D8" s="6" t="s">
        <v>1554</v>
      </c>
      <c r="E8" s="6" t="s">
        <v>2646</v>
      </c>
      <c r="F8" s="1549" t="s">
        <v>2645</v>
      </c>
      <c r="G8" s="5" t="s">
        <v>51</v>
      </c>
      <c r="H8" s="6" t="s">
        <v>52</v>
      </c>
      <c r="I8" s="7" t="s">
        <v>53</v>
      </c>
      <c r="K8" s="8"/>
    </row>
    <row r="9" spans="1:11" s="119" customFormat="1" ht="13.5" customHeight="1" thickBot="1">
      <c r="A9" s="884" t="s">
        <v>253</v>
      </c>
      <c r="B9" s="885" t="s">
        <v>254</v>
      </c>
      <c r="C9" s="1795" t="s">
        <v>255</v>
      </c>
      <c r="D9" s="1796"/>
      <c r="E9" s="1796"/>
      <c r="F9" s="1796"/>
      <c r="G9" s="1796"/>
      <c r="H9" s="1796"/>
      <c r="I9" s="1797"/>
      <c r="K9" s="3"/>
    </row>
    <row r="10" spans="1:11" s="119" customFormat="1" ht="12.75" thickBot="1">
      <c r="A10" s="886" t="s">
        <v>4</v>
      </c>
      <c r="B10" s="887" t="s">
        <v>297</v>
      </c>
      <c r="C10" s="1102">
        <f>+C11+C25+C32+C44</f>
        <v>0</v>
      </c>
      <c r="D10" s="133">
        <f>+D11+D25+D32+D44</f>
        <v>0</v>
      </c>
      <c r="E10" s="133">
        <f>+E11+E25+E32+E44</f>
        <v>0</v>
      </c>
      <c r="F10" s="1550" t="str">
        <f t="shared" ref="F10:F73" si="0">IF(ISERROR(E10/D10),"-",E10/D10)</f>
        <v>-</v>
      </c>
      <c r="G10" s="888">
        <f>+G11+G25+G32+G44</f>
        <v>0</v>
      </c>
      <c r="H10" s="889">
        <f>+H11+H25+H32+H44</f>
        <v>0</v>
      </c>
      <c r="I10" s="890">
        <f>+I11+I25+I32+I44</f>
        <v>0</v>
      </c>
      <c r="K10" s="3">
        <f t="shared" ref="K10:K73" si="1">+E10-G10-H10-I10</f>
        <v>0</v>
      </c>
    </row>
    <row r="11" spans="1:11" s="119" customFormat="1" ht="12.75" customHeight="1" thickBot="1">
      <c r="A11" s="884" t="s">
        <v>5</v>
      </c>
      <c r="B11" s="891" t="s">
        <v>298</v>
      </c>
      <c r="C11" s="1103">
        <f>+C12+C19+C20+C21+C22+C23</f>
        <v>0</v>
      </c>
      <c r="D11" s="28">
        <f>+D12+D19+D20+D21+D22+D23</f>
        <v>0</v>
      </c>
      <c r="E11" s="28">
        <f>+E12+E19+E20+E21+E22+E23</f>
        <v>0</v>
      </c>
      <c r="F11" s="1551" t="str">
        <f t="shared" si="0"/>
        <v>-</v>
      </c>
      <c r="G11" s="110">
        <f>+G12+G19+G20+G21+G22+G23</f>
        <v>0</v>
      </c>
      <c r="H11" s="111">
        <f>+H12+H19+H20+H21+H22+H23</f>
        <v>0</v>
      </c>
      <c r="I11" s="112">
        <f>+I12+I19+I20+I21+I22+I23</f>
        <v>0</v>
      </c>
      <c r="K11" s="3">
        <f t="shared" si="1"/>
        <v>0</v>
      </c>
    </row>
    <row r="12" spans="1:11" s="119" customFormat="1">
      <c r="A12" s="892" t="s">
        <v>54</v>
      </c>
      <c r="B12" s="113" t="s">
        <v>299</v>
      </c>
      <c r="C12" s="1104">
        <f>+C13+C14+C15+C16+C17+C18</f>
        <v>0</v>
      </c>
      <c r="D12" s="10">
        <f>+D13+D14+D15+D16+D17+D18</f>
        <v>0</v>
      </c>
      <c r="E12" s="10">
        <f>+E13+E14+E15+E16+E17+E18</f>
        <v>0</v>
      </c>
      <c r="F12" s="1552" t="str">
        <f t="shared" si="0"/>
        <v>-</v>
      </c>
      <c r="G12" s="893">
        <f>+G13+G14+G15+G16+G17+G18</f>
        <v>0</v>
      </c>
      <c r="H12" s="894">
        <f>+H13+H14+H15+H16+H17+H18</f>
        <v>0</v>
      </c>
      <c r="I12" s="895">
        <f>+I13+I14+I15+I16+I17+I18</f>
        <v>0</v>
      </c>
      <c r="K12" s="4">
        <f t="shared" si="1"/>
        <v>0</v>
      </c>
    </row>
    <row r="13" spans="1:11" s="117" customFormat="1">
      <c r="A13" s="108" t="s">
        <v>190</v>
      </c>
      <c r="B13" s="109" t="s">
        <v>93</v>
      </c>
      <c r="C13" s="1105"/>
      <c r="D13" s="12"/>
      <c r="E13" s="12"/>
      <c r="F13" s="1553" t="str">
        <f t="shared" si="0"/>
        <v>-</v>
      </c>
      <c r="G13" s="656"/>
      <c r="H13" s="657"/>
      <c r="I13" s="658"/>
      <c r="K13" s="13">
        <f t="shared" si="1"/>
        <v>0</v>
      </c>
    </row>
    <row r="14" spans="1:11" s="117" customFormat="1">
      <c r="A14" s="108" t="s">
        <v>191</v>
      </c>
      <c r="B14" s="109" t="s">
        <v>94</v>
      </c>
      <c r="C14" s="1105"/>
      <c r="D14" s="12"/>
      <c r="E14" s="12"/>
      <c r="F14" s="1553" t="str">
        <f t="shared" si="0"/>
        <v>-</v>
      </c>
      <c r="G14" s="656"/>
      <c r="H14" s="657"/>
      <c r="I14" s="658"/>
      <c r="K14" s="13">
        <f t="shared" si="1"/>
        <v>0</v>
      </c>
    </row>
    <row r="15" spans="1:11" s="117" customFormat="1">
      <c r="A15" s="108" t="s">
        <v>192</v>
      </c>
      <c r="B15" s="109" t="s">
        <v>95</v>
      </c>
      <c r="C15" s="1105"/>
      <c r="D15" s="12"/>
      <c r="E15" s="12"/>
      <c r="F15" s="1553" t="str">
        <f t="shared" si="0"/>
        <v>-</v>
      </c>
      <c r="G15" s="656"/>
      <c r="H15" s="657"/>
      <c r="I15" s="658"/>
      <c r="K15" s="13">
        <f t="shared" si="1"/>
        <v>0</v>
      </c>
    </row>
    <row r="16" spans="1:11" s="117" customFormat="1">
      <c r="A16" s="108" t="s">
        <v>193</v>
      </c>
      <c r="B16" s="109" t="s">
        <v>96</v>
      </c>
      <c r="C16" s="1105"/>
      <c r="D16" s="12"/>
      <c r="E16" s="12"/>
      <c r="F16" s="1553" t="str">
        <f t="shared" si="0"/>
        <v>-</v>
      </c>
      <c r="G16" s="656"/>
      <c r="H16" s="657"/>
      <c r="I16" s="658"/>
      <c r="K16" s="13">
        <f t="shared" si="1"/>
        <v>0</v>
      </c>
    </row>
    <row r="17" spans="1:11" s="117" customFormat="1">
      <c r="A17" s="108" t="s">
        <v>194</v>
      </c>
      <c r="B17" s="109" t="s">
        <v>899</v>
      </c>
      <c r="C17" s="1105"/>
      <c r="D17" s="12"/>
      <c r="E17" s="12"/>
      <c r="F17" s="1554" t="str">
        <f t="shared" si="0"/>
        <v>-</v>
      </c>
      <c r="G17" s="656"/>
      <c r="H17" s="657"/>
      <c r="I17" s="658"/>
      <c r="K17" s="13">
        <f t="shared" si="1"/>
        <v>0</v>
      </c>
    </row>
    <row r="18" spans="1:11" s="117" customFormat="1">
      <c r="A18" s="108" t="s">
        <v>195</v>
      </c>
      <c r="B18" s="109" t="s">
        <v>900</v>
      </c>
      <c r="C18" s="1105"/>
      <c r="D18" s="12"/>
      <c r="E18" s="12"/>
      <c r="F18" s="1554" t="str">
        <f t="shared" si="0"/>
        <v>-</v>
      </c>
      <c r="G18" s="656"/>
      <c r="H18" s="657"/>
      <c r="I18" s="658"/>
      <c r="K18" s="13">
        <f t="shared" si="1"/>
        <v>0</v>
      </c>
    </row>
    <row r="19" spans="1:11">
      <c r="A19" s="896" t="s">
        <v>55</v>
      </c>
      <c r="B19" s="897" t="s">
        <v>97</v>
      </c>
      <c r="C19" s="1106"/>
      <c r="D19" s="11"/>
      <c r="E19" s="11"/>
      <c r="F19" s="1553" t="str">
        <f t="shared" si="0"/>
        <v>-</v>
      </c>
      <c r="G19" s="866"/>
      <c r="H19" s="867"/>
      <c r="I19" s="868"/>
      <c r="K19" s="4">
        <f t="shared" si="1"/>
        <v>0</v>
      </c>
    </row>
    <row r="20" spans="1:11">
      <c r="A20" s="896" t="s">
        <v>83</v>
      </c>
      <c r="B20" s="897" t="s">
        <v>98</v>
      </c>
      <c r="C20" s="1106"/>
      <c r="D20" s="11"/>
      <c r="E20" s="11"/>
      <c r="F20" s="1553" t="str">
        <f t="shared" si="0"/>
        <v>-</v>
      </c>
      <c r="G20" s="866"/>
      <c r="H20" s="867"/>
      <c r="I20" s="868"/>
      <c r="K20" s="4">
        <f t="shared" si="1"/>
        <v>0</v>
      </c>
    </row>
    <row r="21" spans="1:11">
      <c r="A21" s="896" t="s">
        <v>84</v>
      </c>
      <c r="B21" s="897" t="s">
        <v>99</v>
      </c>
      <c r="C21" s="1106"/>
      <c r="D21" s="11"/>
      <c r="E21" s="11"/>
      <c r="F21" s="1553" t="str">
        <f t="shared" si="0"/>
        <v>-</v>
      </c>
      <c r="G21" s="866"/>
      <c r="H21" s="867"/>
      <c r="I21" s="868"/>
      <c r="K21" s="4">
        <f t="shared" si="1"/>
        <v>0</v>
      </c>
    </row>
    <row r="22" spans="1:11">
      <c r="A22" s="896" t="s">
        <v>85</v>
      </c>
      <c r="B22" s="897" t="s">
        <v>100</v>
      </c>
      <c r="C22" s="1106"/>
      <c r="D22" s="11"/>
      <c r="E22" s="11"/>
      <c r="F22" s="1553" t="str">
        <f t="shared" si="0"/>
        <v>-</v>
      </c>
      <c r="G22" s="866"/>
      <c r="H22" s="867"/>
      <c r="I22" s="868"/>
      <c r="K22" s="4">
        <f t="shared" si="1"/>
        <v>0</v>
      </c>
    </row>
    <row r="23" spans="1:11">
      <c r="A23" s="898" t="s">
        <v>86</v>
      </c>
      <c r="B23" s="899" t="s">
        <v>101</v>
      </c>
      <c r="C23" s="1107"/>
      <c r="D23" s="22"/>
      <c r="E23" s="22"/>
      <c r="F23" s="1555" t="str">
        <f t="shared" si="0"/>
        <v>-</v>
      </c>
      <c r="G23" s="869"/>
      <c r="H23" s="870"/>
      <c r="I23" s="871"/>
      <c r="K23" s="4">
        <f t="shared" si="1"/>
        <v>0</v>
      </c>
    </row>
    <row r="24" spans="1:11" s="117" customFormat="1" ht="12.75" thickBot="1">
      <c r="A24" s="900" t="s">
        <v>332</v>
      </c>
      <c r="B24" s="901" t="s">
        <v>333</v>
      </c>
      <c r="C24" s="1108"/>
      <c r="D24" s="43"/>
      <c r="E24" s="43"/>
      <c r="F24" s="1555" t="str">
        <f t="shared" si="0"/>
        <v>-</v>
      </c>
      <c r="G24" s="902"/>
      <c r="H24" s="903"/>
      <c r="I24" s="904"/>
      <c r="K24" s="13">
        <f t="shared" si="1"/>
        <v>0</v>
      </c>
    </row>
    <row r="25" spans="1:11" s="119" customFormat="1" ht="12.75" customHeight="1" thickBot="1">
      <c r="A25" s="884" t="s">
        <v>6</v>
      </c>
      <c r="B25" s="891" t="s">
        <v>785</v>
      </c>
      <c r="C25" s="1103">
        <f>+C26+C27+C28+C29+C30+C31</f>
        <v>0</v>
      </c>
      <c r="D25" s="28">
        <f>+D26+D27+D28+D29+D30+D31</f>
        <v>0</v>
      </c>
      <c r="E25" s="28">
        <f>+E26+E27+E28+E29+E30+E31</f>
        <v>0</v>
      </c>
      <c r="F25" s="1551" t="str">
        <f t="shared" si="0"/>
        <v>-</v>
      </c>
      <c r="G25" s="110">
        <f>+G26+G27+G28+G29+G30+G31</f>
        <v>0</v>
      </c>
      <c r="H25" s="111">
        <f>+H26+H27+H28+H29+H30+H31</f>
        <v>0</v>
      </c>
      <c r="I25" s="112">
        <f>+I26+I27+I28+I29+I30+I31</f>
        <v>0</v>
      </c>
      <c r="K25" s="3">
        <f t="shared" si="1"/>
        <v>0</v>
      </c>
    </row>
    <row r="26" spans="1:11" ht="12.75" customHeight="1">
      <c r="A26" s="892" t="s">
        <v>58</v>
      </c>
      <c r="B26" s="113" t="s">
        <v>102</v>
      </c>
      <c r="C26" s="1104"/>
      <c r="D26" s="10"/>
      <c r="E26" s="10"/>
      <c r="F26" s="1552" t="str">
        <f t="shared" si="0"/>
        <v>-</v>
      </c>
      <c r="G26" s="114"/>
      <c r="H26" s="115"/>
      <c r="I26" s="116"/>
      <c r="K26" s="4">
        <f t="shared" si="1"/>
        <v>0</v>
      </c>
    </row>
    <row r="27" spans="1:11" ht="12.75" customHeight="1">
      <c r="A27" s="896" t="s">
        <v>59</v>
      </c>
      <c r="B27" s="897" t="s">
        <v>103</v>
      </c>
      <c r="C27" s="1106"/>
      <c r="D27" s="11"/>
      <c r="E27" s="11"/>
      <c r="F27" s="1553" t="str">
        <f t="shared" si="0"/>
        <v>-</v>
      </c>
      <c r="G27" s="866"/>
      <c r="H27" s="867"/>
      <c r="I27" s="868"/>
      <c r="K27" s="4">
        <f t="shared" si="1"/>
        <v>0</v>
      </c>
    </row>
    <row r="28" spans="1:11" ht="12.75" customHeight="1">
      <c r="A28" s="896" t="s">
        <v>60</v>
      </c>
      <c r="B28" s="897" t="s">
        <v>104</v>
      </c>
      <c r="C28" s="1106"/>
      <c r="D28" s="11"/>
      <c r="E28" s="11"/>
      <c r="F28" s="1553" t="str">
        <f t="shared" si="0"/>
        <v>-</v>
      </c>
      <c r="G28" s="866"/>
      <c r="H28" s="867"/>
      <c r="I28" s="868"/>
      <c r="K28" s="4">
        <f t="shared" si="1"/>
        <v>0</v>
      </c>
    </row>
    <row r="29" spans="1:11" ht="12.75" customHeight="1">
      <c r="A29" s="896" t="s">
        <v>180</v>
      </c>
      <c r="B29" s="897" t="s">
        <v>105</v>
      </c>
      <c r="C29" s="1106"/>
      <c r="D29" s="11"/>
      <c r="E29" s="11"/>
      <c r="F29" s="1553" t="str">
        <f t="shared" si="0"/>
        <v>-</v>
      </c>
      <c r="G29" s="866"/>
      <c r="H29" s="867"/>
      <c r="I29" s="868"/>
      <c r="K29" s="4">
        <f t="shared" si="1"/>
        <v>0</v>
      </c>
    </row>
    <row r="30" spans="1:11" ht="12.75" customHeight="1">
      <c r="A30" s="898" t="s">
        <v>181</v>
      </c>
      <c r="B30" s="899" t="s">
        <v>106</v>
      </c>
      <c r="C30" s="1107"/>
      <c r="D30" s="22"/>
      <c r="E30" s="22"/>
      <c r="F30" s="1555" t="str">
        <f t="shared" si="0"/>
        <v>-</v>
      </c>
      <c r="G30" s="866"/>
      <c r="H30" s="867"/>
      <c r="I30" s="868"/>
      <c r="K30" s="4">
        <f t="shared" si="1"/>
        <v>0</v>
      </c>
    </row>
    <row r="31" spans="1:11" ht="12.75" customHeight="1" thickBot="1">
      <c r="A31" s="898" t="s">
        <v>784</v>
      </c>
      <c r="B31" s="899" t="s">
        <v>786</v>
      </c>
      <c r="C31" s="1107"/>
      <c r="D31" s="22"/>
      <c r="E31" s="22"/>
      <c r="F31" s="1555" t="str">
        <f t="shared" si="0"/>
        <v>-</v>
      </c>
      <c r="G31" s="866"/>
      <c r="H31" s="867"/>
      <c r="I31" s="868"/>
      <c r="K31" s="4">
        <f t="shared" si="1"/>
        <v>0</v>
      </c>
    </row>
    <row r="32" spans="1:11" s="119" customFormat="1" ht="12.75" customHeight="1" thickBot="1">
      <c r="A32" s="884" t="s">
        <v>3</v>
      </c>
      <c r="B32" s="891" t="s">
        <v>975</v>
      </c>
      <c r="C32" s="1103">
        <f>+C33+C34+C35+C36+C37+C38+C39+C40+C41+C42+C43</f>
        <v>0</v>
      </c>
      <c r="D32" s="28">
        <f>+D33+D34+D35+D36+D37+D38+D39+D40+D41+D42+D43</f>
        <v>0</v>
      </c>
      <c r="E32" s="28">
        <f>+E33+E34+E35+E36+E37+E38+E39+E40+E41+E42+E43</f>
        <v>0</v>
      </c>
      <c r="F32" s="1551" t="str">
        <f t="shared" si="0"/>
        <v>-</v>
      </c>
      <c r="G32" s="110">
        <f>+G33+G34+G35+G36+G37+G38+G39+G40+G41+G42+G43</f>
        <v>0</v>
      </c>
      <c r="H32" s="111">
        <f>+H33+H34+H35+H36+H37+H38+H39+H40+H41+H42+H43</f>
        <v>0</v>
      </c>
      <c r="I32" s="112">
        <f>+I33+I34+I35+I36+I37+I38+I39+I40+I41+I42+I43</f>
        <v>0</v>
      </c>
      <c r="K32" s="3">
        <f t="shared" si="1"/>
        <v>0</v>
      </c>
    </row>
    <row r="33" spans="1:11" ht="12.75" customHeight="1">
      <c r="A33" s="892" t="s">
        <v>61</v>
      </c>
      <c r="B33" s="113" t="s">
        <v>107</v>
      </c>
      <c r="C33" s="1104"/>
      <c r="D33" s="10"/>
      <c r="E33" s="10"/>
      <c r="F33" s="1552" t="str">
        <f t="shared" si="0"/>
        <v>-</v>
      </c>
      <c r="G33" s="114"/>
      <c r="H33" s="115"/>
      <c r="I33" s="116"/>
      <c r="K33" s="4">
        <f t="shared" si="1"/>
        <v>0</v>
      </c>
    </row>
    <row r="34" spans="1:11" ht="12.75" customHeight="1">
      <c r="A34" s="896" t="s">
        <v>62</v>
      </c>
      <c r="B34" s="897" t="s">
        <v>108</v>
      </c>
      <c r="C34" s="1106"/>
      <c r="D34" s="11"/>
      <c r="E34" s="11"/>
      <c r="F34" s="1553" t="str">
        <f t="shared" si="0"/>
        <v>-</v>
      </c>
      <c r="G34" s="866"/>
      <c r="H34" s="867"/>
      <c r="I34" s="868"/>
      <c r="K34" s="4">
        <f t="shared" si="1"/>
        <v>0</v>
      </c>
    </row>
    <row r="35" spans="1:11" ht="12.75" customHeight="1">
      <c r="A35" s="896" t="s">
        <v>63</v>
      </c>
      <c r="B35" s="897" t="s">
        <v>109</v>
      </c>
      <c r="C35" s="1106"/>
      <c r="D35" s="11"/>
      <c r="E35" s="11"/>
      <c r="F35" s="1553" t="str">
        <f t="shared" si="0"/>
        <v>-</v>
      </c>
      <c r="G35" s="866"/>
      <c r="H35" s="867"/>
      <c r="I35" s="868"/>
      <c r="K35" s="4">
        <f t="shared" si="1"/>
        <v>0</v>
      </c>
    </row>
    <row r="36" spans="1:11" ht="12.75" customHeight="1">
      <c r="A36" s="896" t="s">
        <v>64</v>
      </c>
      <c r="B36" s="897" t="s">
        <v>110</v>
      </c>
      <c r="C36" s="1106"/>
      <c r="D36" s="11"/>
      <c r="E36" s="11"/>
      <c r="F36" s="1553" t="str">
        <f t="shared" si="0"/>
        <v>-</v>
      </c>
      <c r="G36" s="866"/>
      <c r="H36" s="867"/>
      <c r="I36" s="868"/>
      <c r="K36" s="4">
        <f t="shared" si="1"/>
        <v>0</v>
      </c>
    </row>
    <row r="37" spans="1:11" ht="12.75" customHeight="1">
      <c r="A37" s="896" t="s">
        <v>65</v>
      </c>
      <c r="B37" s="897" t="s">
        <v>111</v>
      </c>
      <c r="C37" s="1106"/>
      <c r="D37" s="11"/>
      <c r="E37" s="11"/>
      <c r="F37" s="1553" t="str">
        <f t="shared" si="0"/>
        <v>-</v>
      </c>
      <c r="G37" s="866"/>
      <c r="H37" s="867"/>
      <c r="I37" s="868"/>
      <c r="K37" s="4">
        <f t="shared" si="1"/>
        <v>0</v>
      </c>
    </row>
    <row r="38" spans="1:11" ht="12.75" customHeight="1">
      <c r="A38" s="896" t="s">
        <v>222</v>
      </c>
      <c r="B38" s="897" t="s">
        <v>112</v>
      </c>
      <c r="C38" s="1106"/>
      <c r="D38" s="11"/>
      <c r="E38" s="11"/>
      <c r="F38" s="1553" t="str">
        <f t="shared" si="0"/>
        <v>-</v>
      </c>
      <c r="G38" s="866"/>
      <c r="H38" s="867"/>
      <c r="I38" s="868"/>
      <c r="K38" s="4">
        <f t="shared" si="1"/>
        <v>0</v>
      </c>
    </row>
    <row r="39" spans="1:11" ht="12.75" customHeight="1">
      <c r="A39" s="896" t="s">
        <v>223</v>
      </c>
      <c r="B39" s="897" t="s">
        <v>113</v>
      </c>
      <c r="C39" s="1106"/>
      <c r="D39" s="11"/>
      <c r="E39" s="11"/>
      <c r="F39" s="1553" t="str">
        <f t="shared" si="0"/>
        <v>-</v>
      </c>
      <c r="G39" s="866"/>
      <c r="H39" s="867"/>
      <c r="I39" s="868"/>
      <c r="K39" s="4">
        <f t="shared" si="1"/>
        <v>0</v>
      </c>
    </row>
    <row r="40" spans="1:11" ht="12.75" customHeight="1">
      <c r="A40" s="896" t="s">
        <v>224</v>
      </c>
      <c r="B40" s="897" t="s">
        <v>985</v>
      </c>
      <c r="C40" s="1106"/>
      <c r="D40" s="11"/>
      <c r="E40" s="11"/>
      <c r="F40" s="1553" t="str">
        <f t="shared" si="0"/>
        <v>-</v>
      </c>
      <c r="G40" s="866"/>
      <c r="H40" s="867"/>
      <c r="I40" s="868"/>
      <c r="K40" s="4">
        <f t="shared" si="1"/>
        <v>0</v>
      </c>
    </row>
    <row r="41" spans="1:11" ht="12.75" customHeight="1">
      <c r="A41" s="896" t="s">
        <v>225</v>
      </c>
      <c r="B41" s="897" t="s">
        <v>114</v>
      </c>
      <c r="C41" s="1106"/>
      <c r="D41" s="11"/>
      <c r="E41" s="11"/>
      <c r="F41" s="1553" t="str">
        <f t="shared" si="0"/>
        <v>-</v>
      </c>
      <c r="G41" s="866"/>
      <c r="H41" s="867"/>
      <c r="I41" s="868"/>
      <c r="K41" s="4">
        <f t="shared" si="1"/>
        <v>0</v>
      </c>
    </row>
    <row r="42" spans="1:11" ht="12.75" customHeight="1">
      <c r="A42" s="898" t="s">
        <v>226</v>
      </c>
      <c r="B42" s="899" t="s">
        <v>902</v>
      </c>
      <c r="C42" s="1106"/>
      <c r="D42" s="11"/>
      <c r="E42" s="11"/>
      <c r="F42" s="1553" t="str">
        <f t="shared" si="0"/>
        <v>-</v>
      </c>
      <c r="G42" s="866"/>
      <c r="H42" s="867"/>
      <c r="I42" s="868"/>
      <c r="K42" s="4">
        <f t="shared" si="1"/>
        <v>0</v>
      </c>
    </row>
    <row r="43" spans="1:11" ht="12.75" customHeight="1" thickBot="1">
      <c r="A43" s="898" t="s">
        <v>901</v>
      </c>
      <c r="B43" s="899" t="s">
        <v>903</v>
      </c>
      <c r="C43" s="1107"/>
      <c r="D43" s="22"/>
      <c r="E43" s="22"/>
      <c r="F43" s="1555" t="str">
        <f t="shared" si="0"/>
        <v>-</v>
      </c>
      <c r="G43" s="869"/>
      <c r="H43" s="870"/>
      <c r="I43" s="871"/>
      <c r="K43" s="4">
        <f t="shared" si="1"/>
        <v>0</v>
      </c>
    </row>
    <row r="44" spans="1:11" s="119" customFormat="1" ht="12.75" thickBot="1">
      <c r="A44" s="884" t="s">
        <v>16</v>
      </c>
      <c r="B44" s="891" t="s">
        <v>976</v>
      </c>
      <c r="C44" s="1103">
        <f>+C45+C46+C47+C48+C49</f>
        <v>0</v>
      </c>
      <c r="D44" s="28">
        <f>+D45+D46+D47+D48+D49</f>
        <v>0</v>
      </c>
      <c r="E44" s="28">
        <f>+E45+E46+E47+E48+E49</f>
        <v>0</v>
      </c>
      <c r="F44" s="1551" t="str">
        <f t="shared" si="0"/>
        <v>-</v>
      </c>
      <c r="G44" s="110">
        <f>+G45+G46+G47+G48+G49</f>
        <v>0</v>
      </c>
      <c r="H44" s="111">
        <f>+H45+H46+H47+H48+H49</f>
        <v>0</v>
      </c>
      <c r="I44" s="112">
        <f>+I45+I46+I47+I48+I49</f>
        <v>0</v>
      </c>
      <c r="K44" s="3">
        <f t="shared" si="1"/>
        <v>0</v>
      </c>
    </row>
    <row r="45" spans="1:11" ht="12.75" customHeight="1">
      <c r="A45" s="892" t="s">
        <v>227</v>
      </c>
      <c r="B45" s="113" t="s">
        <v>115</v>
      </c>
      <c r="C45" s="1104"/>
      <c r="D45" s="10"/>
      <c r="E45" s="10"/>
      <c r="F45" s="1552" t="str">
        <f t="shared" si="0"/>
        <v>-</v>
      </c>
      <c r="G45" s="114"/>
      <c r="H45" s="115"/>
      <c r="I45" s="116"/>
      <c r="K45" s="4">
        <f t="shared" si="1"/>
        <v>0</v>
      </c>
    </row>
    <row r="46" spans="1:11" ht="12.75" customHeight="1">
      <c r="A46" s="892" t="s">
        <v>228</v>
      </c>
      <c r="B46" s="113" t="s">
        <v>904</v>
      </c>
      <c r="C46" s="1104"/>
      <c r="D46" s="10"/>
      <c r="E46" s="10"/>
      <c r="F46" s="1552" t="str">
        <f t="shared" si="0"/>
        <v>-</v>
      </c>
      <c r="G46" s="114"/>
      <c r="H46" s="115"/>
      <c r="I46" s="116"/>
      <c r="K46" s="4">
        <f t="shared" si="1"/>
        <v>0</v>
      </c>
    </row>
    <row r="47" spans="1:11" ht="12.75" customHeight="1">
      <c r="A47" s="892" t="s">
        <v>229</v>
      </c>
      <c r="B47" s="113" t="s">
        <v>905</v>
      </c>
      <c r="C47" s="1104"/>
      <c r="D47" s="10"/>
      <c r="E47" s="10"/>
      <c r="F47" s="1552" t="str">
        <f t="shared" si="0"/>
        <v>-</v>
      </c>
      <c r="G47" s="114"/>
      <c r="H47" s="115"/>
      <c r="I47" s="116"/>
      <c r="K47" s="4">
        <f t="shared" si="1"/>
        <v>0</v>
      </c>
    </row>
    <row r="48" spans="1:11" ht="12.75" customHeight="1">
      <c r="A48" s="896" t="s">
        <v>257</v>
      </c>
      <c r="B48" s="897" t="s">
        <v>906</v>
      </c>
      <c r="C48" s="1106"/>
      <c r="D48" s="11"/>
      <c r="E48" s="11"/>
      <c r="F48" s="1553" t="str">
        <f t="shared" si="0"/>
        <v>-</v>
      </c>
      <c r="G48" s="866"/>
      <c r="H48" s="867"/>
      <c r="I48" s="868"/>
      <c r="K48" s="4">
        <f t="shared" si="1"/>
        <v>0</v>
      </c>
    </row>
    <row r="49" spans="1:11" ht="12.75" customHeight="1" thickBot="1">
      <c r="A49" s="898" t="s">
        <v>258</v>
      </c>
      <c r="B49" s="899" t="s">
        <v>907</v>
      </c>
      <c r="C49" s="1107"/>
      <c r="D49" s="22"/>
      <c r="E49" s="22"/>
      <c r="F49" s="1555" t="str">
        <f t="shared" si="0"/>
        <v>-</v>
      </c>
      <c r="G49" s="869"/>
      <c r="H49" s="870"/>
      <c r="I49" s="871"/>
      <c r="K49" s="4">
        <f t="shared" si="1"/>
        <v>0</v>
      </c>
    </row>
    <row r="50" spans="1:11" s="119" customFormat="1" ht="12.75" thickBot="1">
      <c r="A50" s="884" t="s">
        <v>15</v>
      </c>
      <c r="B50" s="905" t="s">
        <v>300</v>
      </c>
      <c r="C50" s="1103">
        <f>+C51+C58+C64</f>
        <v>0</v>
      </c>
      <c r="D50" s="28">
        <f>+D51+D58+D64</f>
        <v>0</v>
      </c>
      <c r="E50" s="28">
        <f>+E51+E58+E64</f>
        <v>0</v>
      </c>
      <c r="F50" s="1551" t="str">
        <f t="shared" si="0"/>
        <v>-</v>
      </c>
      <c r="G50" s="110">
        <f>+G51+G58+G64</f>
        <v>0</v>
      </c>
      <c r="H50" s="111">
        <f>+H51+H58+H64</f>
        <v>0</v>
      </c>
      <c r="I50" s="112">
        <f>+I51+I58+I64</f>
        <v>0</v>
      </c>
      <c r="K50" s="3">
        <f t="shared" si="1"/>
        <v>0</v>
      </c>
    </row>
    <row r="51" spans="1:11" s="119" customFormat="1" ht="12.75" customHeight="1" thickBot="1">
      <c r="A51" s="884" t="s">
        <v>14</v>
      </c>
      <c r="B51" s="891" t="s">
        <v>301</v>
      </c>
      <c r="C51" s="1103">
        <f>+C52+C53+C54+C55+C56</f>
        <v>0</v>
      </c>
      <c r="D51" s="28">
        <f>+D52+D53+D54+D55+D56</f>
        <v>0</v>
      </c>
      <c r="E51" s="28">
        <f>+E52+E53+E54+E55+E56</f>
        <v>0</v>
      </c>
      <c r="F51" s="1551" t="str">
        <f t="shared" si="0"/>
        <v>-</v>
      </c>
      <c r="G51" s="110">
        <f>+G52+G53+G54+G55+G56</f>
        <v>0</v>
      </c>
      <c r="H51" s="111">
        <f>+H52+H53+H54+H55+H56</f>
        <v>0</v>
      </c>
      <c r="I51" s="112">
        <f>+I52+I53+I54+I55+I56</f>
        <v>0</v>
      </c>
      <c r="K51" s="3">
        <f t="shared" si="1"/>
        <v>0</v>
      </c>
    </row>
    <row r="52" spans="1:11">
      <c r="A52" s="892" t="s">
        <v>185</v>
      </c>
      <c r="B52" s="113" t="s">
        <v>116</v>
      </c>
      <c r="C52" s="1104"/>
      <c r="D52" s="10"/>
      <c r="E52" s="10"/>
      <c r="F52" s="1552" t="str">
        <f t="shared" si="0"/>
        <v>-</v>
      </c>
      <c r="G52" s="114"/>
      <c r="H52" s="115"/>
      <c r="I52" s="116"/>
      <c r="K52" s="4">
        <f t="shared" si="1"/>
        <v>0</v>
      </c>
    </row>
    <row r="53" spans="1:11">
      <c r="A53" s="896" t="s">
        <v>186</v>
      </c>
      <c r="B53" s="897" t="s">
        <v>117</v>
      </c>
      <c r="C53" s="1106"/>
      <c r="D53" s="11"/>
      <c r="E53" s="11"/>
      <c r="F53" s="1553" t="str">
        <f t="shared" si="0"/>
        <v>-</v>
      </c>
      <c r="G53" s="866"/>
      <c r="H53" s="867"/>
      <c r="I53" s="868"/>
      <c r="K53" s="4">
        <f t="shared" si="1"/>
        <v>0</v>
      </c>
    </row>
    <row r="54" spans="1:11">
      <c r="A54" s="896" t="s">
        <v>187</v>
      </c>
      <c r="B54" s="897" t="s">
        <v>118</v>
      </c>
      <c r="C54" s="1106"/>
      <c r="D54" s="11"/>
      <c r="E54" s="11"/>
      <c r="F54" s="1553" t="str">
        <f t="shared" si="0"/>
        <v>-</v>
      </c>
      <c r="G54" s="866"/>
      <c r="H54" s="867"/>
      <c r="I54" s="868"/>
      <c r="K54" s="4">
        <f t="shared" si="1"/>
        <v>0</v>
      </c>
    </row>
    <row r="55" spans="1:11">
      <c r="A55" s="896" t="s">
        <v>188</v>
      </c>
      <c r="B55" s="897" t="s">
        <v>119</v>
      </c>
      <c r="C55" s="1106"/>
      <c r="D55" s="11"/>
      <c r="E55" s="11"/>
      <c r="F55" s="1553" t="str">
        <f t="shared" si="0"/>
        <v>-</v>
      </c>
      <c r="G55" s="866"/>
      <c r="H55" s="867"/>
      <c r="I55" s="868"/>
      <c r="K55" s="4">
        <f t="shared" si="1"/>
        <v>0</v>
      </c>
    </row>
    <row r="56" spans="1:11">
      <c r="A56" s="898" t="s">
        <v>189</v>
      </c>
      <c r="B56" s="899" t="s">
        <v>120</v>
      </c>
      <c r="C56" s="1107"/>
      <c r="D56" s="22"/>
      <c r="E56" s="22"/>
      <c r="F56" s="1555" t="str">
        <f t="shared" si="0"/>
        <v>-</v>
      </c>
      <c r="G56" s="869"/>
      <c r="H56" s="870"/>
      <c r="I56" s="871"/>
      <c r="K56" s="4">
        <f t="shared" si="1"/>
        <v>0</v>
      </c>
    </row>
    <row r="57" spans="1:11" s="117" customFormat="1" ht="12.75" thickBot="1">
      <c r="A57" s="900" t="s">
        <v>334</v>
      </c>
      <c r="B57" s="901" t="s">
        <v>338</v>
      </c>
      <c r="C57" s="1108"/>
      <c r="D57" s="43"/>
      <c r="E57" s="43"/>
      <c r="F57" s="1555" t="str">
        <f t="shared" si="0"/>
        <v>-</v>
      </c>
      <c r="G57" s="902"/>
      <c r="H57" s="903"/>
      <c r="I57" s="904"/>
      <c r="K57" s="13">
        <f t="shared" si="1"/>
        <v>0</v>
      </c>
    </row>
    <row r="58" spans="1:11" s="119" customFormat="1" ht="12.75" customHeight="1" thickBot="1">
      <c r="A58" s="884" t="s">
        <v>13</v>
      </c>
      <c r="B58" s="891" t="s">
        <v>302</v>
      </c>
      <c r="C58" s="1103">
        <f>+C59+C60+C61+C62+C63</f>
        <v>0</v>
      </c>
      <c r="D58" s="28">
        <f>+D59+D60+D61+D62+D63</f>
        <v>0</v>
      </c>
      <c r="E58" s="28">
        <f>+E59+E60+E61+E62+E63</f>
        <v>0</v>
      </c>
      <c r="F58" s="1551" t="str">
        <f t="shared" si="0"/>
        <v>-</v>
      </c>
      <c r="G58" s="110">
        <f>+G59+G60+G61+G62+G63</f>
        <v>0</v>
      </c>
      <c r="H58" s="111">
        <f>+H59+H60+H61+H62+H63</f>
        <v>0</v>
      </c>
      <c r="I58" s="112">
        <f>+I59+I60+I61+I62+I63</f>
        <v>0</v>
      </c>
      <c r="K58" s="3">
        <f t="shared" si="1"/>
        <v>0</v>
      </c>
    </row>
    <row r="59" spans="1:11" ht="12.75" customHeight="1">
      <c r="A59" s="892" t="s">
        <v>66</v>
      </c>
      <c r="B59" s="113" t="s">
        <v>121</v>
      </c>
      <c r="C59" s="1104"/>
      <c r="D59" s="10"/>
      <c r="E59" s="10"/>
      <c r="F59" s="1552" t="str">
        <f t="shared" si="0"/>
        <v>-</v>
      </c>
      <c r="G59" s="114"/>
      <c r="H59" s="115"/>
      <c r="I59" s="116"/>
      <c r="K59" s="4">
        <f t="shared" si="1"/>
        <v>0</v>
      </c>
    </row>
    <row r="60" spans="1:11" ht="12.75" customHeight="1">
      <c r="A60" s="896" t="s">
        <v>67</v>
      </c>
      <c r="B60" s="897" t="s">
        <v>122</v>
      </c>
      <c r="C60" s="1106"/>
      <c r="D60" s="11"/>
      <c r="E60" s="11"/>
      <c r="F60" s="1553" t="str">
        <f t="shared" si="0"/>
        <v>-</v>
      </c>
      <c r="G60" s="866"/>
      <c r="H60" s="867"/>
      <c r="I60" s="868"/>
      <c r="K60" s="4">
        <f t="shared" si="1"/>
        <v>0</v>
      </c>
    </row>
    <row r="61" spans="1:11" ht="12.75" customHeight="1">
      <c r="A61" s="896" t="s">
        <v>68</v>
      </c>
      <c r="B61" s="897" t="s">
        <v>123</v>
      </c>
      <c r="C61" s="1106"/>
      <c r="D61" s="11"/>
      <c r="E61" s="11"/>
      <c r="F61" s="1553" t="str">
        <f t="shared" si="0"/>
        <v>-</v>
      </c>
      <c r="G61" s="866"/>
      <c r="H61" s="867"/>
      <c r="I61" s="868"/>
      <c r="K61" s="4">
        <f t="shared" si="1"/>
        <v>0</v>
      </c>
    </row>
    <row r="62" spans="1:11" ht="12.75" customHeight="1">
      <c r="A62" s="896" t="s">
        <v>230</v>
      </c>
      <c r="B62" s="897" t="s">
        <v>124</v>
      </c>
      <c r="C62" s="1106"/>
      <c r="D62" s="11"/>
      <c r="E62" s="11"/>
      <c r="F62" s="1553" t="str">
        <f t="shared" si="0"/>
        <v>-</v>
      </c>
      <c r="G62" s="866"/>
      <c r="H62" s="867"/>
      <c r="I62" s="868"/>
      <c r="K62" s="4">
        <f t="shared" si="1"/>
        <v>0</v>
      </c>
    </row>
    <row r="63" spans="1:11" ht="12.75" customHeight="1" thickBot="1">
      <c r="A63" s="898" t="s">
        <v>231</v>
      </c>
      <c r="B63" s="899" t="s">
        <v>125</v>
      </c>
      <c r="C63" s="1107"/>
      <c r="D63" s="22"/>
      <c r="E63" s="22"/>
      <c r="F63" s="1555" t="str">
        <f t="shared" si="0"/>
        <v>-</v>
      </c>
      <c r="G63" s="869"/>
      <c r="H63" s="870"/>
      <c r="I63" s="871"/>
      <c r="K63" s="4">
        <f t="shared" si="1"/>
        <v>0</v>
      </c>
    </row>
    <row r="64" spans="1:11" s="119" customFormat="1" ht="12.75" thickBot="1">
      <c r="A64" s="884" t="s">
        <v>12</v>
      </c>
      <c r="B64" s="891" t="s">
        <v>911</v>
      </c>
      <c r="C64" s="1103">
        <f>+C65+C66+C67+C68+C69</f>
        <v>0</v>
      </c>
      <c r="D64" s="28">
        <f>+D65+D66+D67+D68+D69</f>
        <v>0</v>
      </c>
      <c r="E64" s="28">
        <f>+E65+E66+E67+E68+E69</f>
        <v>0</v>
      </c>
      <c r="F64" s="1551" t="str">
        <f t="shared" si="0"/>
        <v>-</v>
      </c>
      <c r="G64" s="110">
        <f>+G65+G66+G67+G68+G69</f>
        <v>0</v>
      </c>
      <c r="H64" s="111">
        <f>+H65+H66+H67+H68+H69</f>
        <v>0</v>
      </c>
      <c r="I64" s="112">
        <f>+I65+I66+I67+I68+I69</f>
        <v>0</v>
      </c>
      <c r="K64" s="3">
        <f t="shared" si="1"/>
        <v>0</v>
      </c>
    </row>
    <row r="65" spans="1:11">
      <c r="A65" s="892" t="s">
        <v>69</v>
      </c>
      <c r="B65" s="113" t="s">
        <v>126</v>
      </c>
      <c r="C65" s="1104"/>
      <c r="D65" s="10"/>
      <c r="E65" s="10"/>
      <c r="F65" s="1552" t="str">
        <f t="shared" si="0"/>
        <v>-</v>
      </c>
      <c r="G65" s="114"/>
      <c r="H65" s="115"/>
      <c r="I65" s="116"/>
      <c r="K65" s="4">
        <f t="shared" si="1"/>
        <v>0</v>
      </c>
    </row>
    <row r="66" spans="1:11">
      <c r="A66" s="892" t="s">
        <v>70</v>
      </c>
      <c r="B66" s="113" t="s">
        <v>912</v>
      </c>
      <c r="C66" s="1104"/>
      <c r="D66" s="10"/>
      <c r="E66" s="10"/>
      <c r="F66" s="1552" t="str">
        <f t="shared" si="0"/>
        <v>-</v>
      </c>
      <c r="G66" s="114"/>
      <c r="H66" s="115"/>
      <c r="I66" s="116"/>
      <c r="K66" s="4">
        <f t="shared" si="1"/>
        <v>0</v>
      </c>
    </row>
    <row r="67" spans="1:11">
      <c r="A67" s="892" t="s">
        <v>71</v>
      </c>
      <c r="B67" s="113" t="s">
        <v>913</v>
      </c>
      <c r="C67" s="1104"/>
      <c r="D67" s="10"/>
      <c r="E67" s="10"/>
      <c r="F67" s="1552" t="str">
        <f t="shared" si="0"/>
        <v>-</v>
      </c>
      <c r="G67" s="114"/>
      <c r="H67" s="115"/>
      <c r="I67" s="116"/>
      <c r="K67" s="4">
        <f t="shared" si="1"/>
        <v>0</v>
      </c>
    </row>
    <row r="68" spans="1:11">
      <c r="A68" s="896" t="s">
        <v>72</v>
      </c>
      <c r="B68" s="897" t="s">
        <v>909</v>
      </c>
      <c r="C68" s="1106"/>
      <c r="D68" s="11"/>
      <c r="E68" s="11"/>
      <c r="F68" s="1553" t="str">
        <f t="shared" si="0"/>
        <v>-</v>
      </c>
      <c r="G68" s="866"/>
      <c r="H68" s="867"/>
      <c r="I68" s="868"/>
      <c r="K68" s="4">
        <f t="shared" si="1"/>
        <v>0</v>
      </c>
    </row>
    <row r="69" spans="1:11" ht="12.75" thickBot="1">
      <c r="A69" s="898" t="s">
        <v>908</v>
      </c>
      <c r="B69" s="899" t="s">
        <v>910</v>
      </c>
      <c r="C69" s="1107"/>
      <c r="D69" s="22"/>
      <c r="E69" s="22"/>
      <c r="F69" s="1555" t="str">
        <f t="shared" si="0"/>
        <v>-</v>
      </c>
      <c r="G69" s="869"/>
      <c r="H69" s="870"/>
      <c r="I69" s="871"/>
      <c r="K69" s="4">
        <f t="shared" si="1"/>
        <v>0</v>
      </c>
    </row>
    <row r="70" spans="1:11" s="119" customFormat="1" ht="12.75" thickBot="1">
      <c r="A70" s="884" t="s">
        <v>11</v>
      </c>
      <c r="B70" s="905" t="s">
        <v>303</v>
      </c>
      <c r="C70" s="1103">
        <f>+C10+C50</f>
        <v>0</v>
      </c>
      <c r="D70" s="28">
        <f>+D10+D50</f>
        <v>0</v>
      </c>
      <c r="E70" s="28">
        <f>+E10+E50</f>
        <v>0</v>
      </c>
      <c r="F70" s="1551" t="str">
        <f t="shared" si="0"/>
        <v>-</v>
      </c>
      <c r="G70" s="110">
        <f>+G10+G50</f>
        <v>0</v>
      </c>
      <c r="H70" s="111">
        <f>+H10+H50</f>
        <v>0</v>
      </c>
      <c r="I70" s="112">
        <f>+I10+I50</f>
        <v>0</v>
      </c>
      <c r="K70" s="3">
        <f t="shared" si="1"/>
        <v>0</v>
      </c>
    </row>
    <row r="71" spans="1:11" s="119" customFormat="1" ht="12.75" thickBot="1">
      <c r="A71" s="884" t="s">
        <v>10</v>
      </c>
      <c r="B71" s="906" t="s">
        <v>304</v>
      </c>
      <c r="C71" s="1103">
        <f>+C72</f>
        <v>73861</v>
      </c>
      <c r="D71" s="28">
        <f>+D72</f>
        <v>76103</v>
      </c>
      <c r="E71" s="28">
        <f>+E72</f>
        <v>76067</v>
      </c>
      <c r="F71" s="1551">
        <f t="shared" si="0"/>
        <v>0.99952695688737636</v>
      </c>
      <c r="G71" s="110">
        <f>+G72</f>
        <v>76067</v>
      </c>
      <c r="H71" s="111">
        <f>+H72</f>
        <v>0</v>
      </c>
      <c r="I71" s="112">
        <f>+I72</f>
        <v>0</v>
      </c>
      <c r="K71" s="3">
        <f t="shared" si="1"/>
        <v>0</v>
      </c>
    </row>
    <row r="72" spans="1:11" s="119" customFormat="1" ht="12.75" thickBot="1">
      <c r="A72" s="884" t="s">
        <v>9</v>
      </c>
      <c r="B72" s="891" t="s">
        <v>920</v>
      </c>
      <c r="C72" s="1103">
        <f>+C73+C83+C84+C85</f>
        <v>73861</v>
      </c>
      <c r="D72" s="28">
        <f>+D73+D83+D84+D85</f>
        <v>76103</v>
      </c>
      <c r="E72" s="28">
        <f>+E73+E83+E84+E85</f>
        <v>76067</v>
      </c>
      <c r="F72" s="1551">
        <f t="shared" si="0"/>
        <v>0.99952695688737636</v>
      </c>
      <c r="G72" s="110">
        <f>+G73+G83+G84+G85</f>
        <v>76067</v>
      </c>
      <c r="H72" s="111">
        <f>+H73+H83+H84+H85</f>
        <v>0</v>
      </c>
      <c r="I72" s="112">
        <f>+I73+I83+I84+I85</f>
        <v>0</v>
      </c>
      <c r="K72" s="3">
        <f t="shared" si="1"/>
        <v>0</v>
      </c>
    </row>
    <row r="73" spans="1:11">
      <c r="A73" s="892" t="s">
        <v>73</v>
      </c>
      <c r="B73" s="113" t="s">
        <v>915</v>
      </c>
      <c r="C73" s="1104">
        <f>+C74+C75+C76+C77+C78+C79+C80+C81+C82</f>
        <v>73861</v>
      </c>
      <c r="D73" s="10">
        <f>+D74+D75+D76+D77+D78+D79+D80+D81+D82</f>
        <v>76103</v>
      </c>
      <c r="E73" s="10">
        <f>+E74+E75+E76+E77+E78+E79+E80+E81+E82</f>
        <v>76067</v>
      </c>
      <c r="F73" s="1552">
        <f t="shared" si="0"/>
        <v>0.99952695688737636</v>
      </c>
      <c r="G73" s="114">
        <f>+G74+G75+G76+G77+G78+G79+G80+G81+G82</f>
        <v>76067</v>
      </c>
      <c r="H73" s="115">
        <f>+H74+H75+H76+H77+H78+H79+H80+H81+H82</f>
        <v>0</v>
      </c>
      <c r="I73" s="116">
        <f>+I74+I75+I76+I77+I78+I79+I80+I81+I82</f>
        <v>0</v>
      </c>
      <c r="K73" s="4">
        <f t="shared" si="1"/>
        <v>0</v>
      </c>
    </row>
    <row r="74" spans="1:11" s="117" customFormat="1">
      <c r="A74" s="108" t="s">
        <v>196</v>
      </c>
      <c r="B74" s="109" t="s">
        <v>914</v>
      </c>
      <c r="C74" s="1105"/>
      <c r="D74" s="12"/>
      <c r="E74" s="12"/>
      <c r="F74" s="1553" t="str">
        <f t="shared" ref="F74:F102" si="2">IF(ISERROR(E74/D74),"-",E74/D74)</f>
        <v>-</v>
      </c>
      <c r="G74" s="656"/>
      <c r="H74" s="657"/>
      <c r="I74" s="658"/>
      <c r="K74" s="13">
        <f t="shared" ref="K74:K102" si="3">+E74-G74-H74-I74</f>
        <v>0</v>
      </c>
    </row>
    <row r="75" spans="1:11" s="117" customFormat="1">
      <c r="A75" s="108" t="s">
        <v>197</v>
      </c>
      <c r="B75" s="109" t="s">
        <v>247</v>
      </c>
      <c r="C75" s="1105"/>
      <c r="D75" s="12"/>
      <c r="E75" s="12"/>
      <c r="F75" s="1553" t="str">
        <f t="shared" si="2"/>
        <v>-</v>
      </c>
      <c r="G75" s="656"/>
      <c r="H75" s="657"/>
      <c r="I75" s="658"/>
      <c r="K75" s="13">
        <f t="shared" si="3"/>
        <v>0</v>
      </c>
    </row>
    <row r="76" spans="1:11" s="117" customFormat="1">
      <c r="A76" s="108" t="s">
        <v>198</v>
      </c>
      <c r="B76" s="109" t="s">
        <v>248</v>
      </c>
      <c r="C76" s="1105"/>
      <c r="D76" s="12">
        <f>0+147</f>
        <v>147</v>
      </c>
      <c r="E76" s="12">
        <v>147</v>
      </c>
      <c r="F76" s="1553">
        <f t="shared" si="2"/>
        <v>1</v>
      </c>
      <c r="G76" s="656">
        <v>147</v>
      </c>
      <c r="H76" s="657"/>
      <c r="I76" s="658"/>
      <c r="K76" s="13">
        <f t="shared" si="3"/>
        <v>0</v>
      </c>
    </row>
    <row r="77" spans="1:11" s="117" customFormat="1">
      <c r="A77" s="108" t="s">
        <v>199</v>
      </c>
      <c r="B77" s="109" t="s">
        <v>249</v>
      </c>
      <c r="C77" s="1105"/>
      <c r="D77" s="12"/>
      <c r="E77" s="12"/>
      <c r="F77" s="1553" t="str">
        <f t="shared" si="2"/>
        <v>-</v>
      </c>
      <c r="G77" s="656"/>
      <c r="H77" s="657"/>
      <c r="I77" s="658"/>
      <c r="K77" s="13">
        <f t="shared" si="3"/>
        <v>0</v>
      </c>
    </row>
    <row r="78" spans="1:11" s="117" customFormat="1">
      <c r="A78" s="108" t="s">
        <v>200</v>
      </c>
      <c r="B78" s="109" t="s">
        <v>250</v>
      </c>
      <c r="C78" s="1105"/>
      <c r="D78" s="12"/>
      <c r="E78" s="12"/>
      <c r="F78" s="1553" t="str">
        <f t="shared" si="2"/>
        <v>-</v>
      </c>
      <c r="G78" s="656"/>
      <c r="H78" s="657"/>
      <c r="I78" s="658"/>
      <c r="K78" s="13">
        <f t="shared" si="3"/>
        <v>0</v>
      </c>
    </row>
    <row r="79" spans="1:11" s="117" customFormat="1">
      <c r="A79" s="108" t="s">
        <v>201</v>
      </c>
      <c r="B79" s="109" t="s">
        <v>251</v>
      </c>
      <c r="C79" s="1105">
        <f t="shared" ref="C79" si="4">+C109-C10+C178-C74-C75-C76-C77-C78-C80-C81-C83-C84-C85</f>
        <v>73861</v>
      </c>
      <c r="D79" s="12">
        <f>118111-D94</f>
        <v>75956</v>
      </c>
      <c r="E79" s="12">
        <f>118074+1-E94</f>
        <v>75920</v>
      </c>
      <c r="F79" s="1553">
        <f t="shared" si="2"/>
        <v>0.9995260413923851</v>
      </c>
      <c r="G79" s="656">
        <v>75920</v>
      </c>
      <c r="H79" s="657"/>
      <c r="I79" s="658"/>
      <c r="K79" s="117">
        <f t="shared" si="3"/>
        <v>0</v>
      </c>
    </row>
    <row r="80" spans="1:11" s="117" customFormat="1">
      <c r="A80" s="108" t="s">
        <v>204</v>
      </c>
      <c r="B80" s="109" t="s">
        <v>252</v>
      </c>
      <c r="C80" s="1105"/>
      <c r="D80" s="12"/>
      <c r="E80" s="12"/>
      <c r="F80" s="1553" t="str">
        <f t="shared" si="2"/>
        <v>-</v>
      </c>
      <c r="G80" s="656"/>
      <c r="H80" s="657"/>
      <c r="I80" s="658"/>
      <c r="K80" s="117">
        <f t="shared" si="3"/>
        <v>0</v>
      </c>
    </row>
    <row r="81" spans="1:11" s="117" customFormat="1">
      <c r="A81" s="108" t="s">
        <v>202</v>
      </c>
      <c r="B81" s="109" t="s">
        <v>245</v>
      </c>
      <c r="C81" s="1105"/>
      <c r="D81" s="12"/>
      <c r="E81" s="12"/>
      <c r="F81" s="1553" t="str">
        <f t="shared" si="2"/>
        <v>-</v>
      </c>
      <c r="G81" s="656"/>
      <c r="H81" s="657"/>
      <c r="I81" s="658"/>
      <c r="K81" s="117">
        <f t="shared" si="3"/>
        <v>0</v>
      </c>
    </row>
    <row r="82" spans="1:11" s="117" customFormat="1">
      <c r="A82" s="108" t="s">
        <v>916</v>
      </c>
      <c r="B82" s="109" t="s">
        <v>917</v>
      </c>
      <c r="C82" s="1105"/>
      <c r="D82" s="12"/>
      <c r="E82" s="12"/>
      <c r="F82" s="1553" t="str">
        <f t="shared" si="2"/>
        <v>-</v>
      </c>
      <c r="G82" s="656"/>
      <c r="H82" s="657"/>
      <c r="I82" s="658"/>
      <c r="K82" s="117">
        <f t="shared" si="3"/>
        <v>0</v>
      </c>
    </row>
    <row r="83" spans="1:11">
      <c r="A83" s="896" t="s">
        <v>74</v>
      </c>
      <c r="B83" s="897" t="s">
        <v>243</v>
      </c>
      <c r="C83" s="1106"/>
      <c r="D83" s="11"/>
      <c r="E83" s="11"/>
      <c r="F83" s="1553" t="str">
        <f t="shared" si="2"/>
        <v>-</v>
      </c>
      <c r="G83" s="866"/>
      <c r="H83" s="867"/>
      <c r="I83" s="868"/>
      <c r="K83" s="118">
        <f t="shared" si="3"/>
        <v>0</v>
      </c>
    </row>
    <row r="84" spans="1:11">
      <c r="A84" s="898" t="s">
        <v>203</v>
      </c>
      <c r="B84" s="899" t="s">
        <v>244</v>
      </c>
      <c r="C84" s="1107"/>
      <c r="D84" s="22"/>
      <c r="E84" s="22"/>
      <c r="F84" s="1555" t="str">
        <f t="shared" si="2"/>
        <v>-</v>
      </c>
      <c r="G84" s="869"/>
      <c r="H84" s="870"/>
      <c r="I84" s="871"/>
      <c r="K84" s="118">
        <f t="shared" si="3"/>
        <v>0</v>
      </c>
    </row>
    <row r="85" spans="1:11" ht="12.75" thickBot="1">
      <c r="A85" s="898" t="s">
        <v>918</v>
      </c>
      <c r="B85" s="899" t="s">
        <v>919</v>
      </c>
      <c r="C85" s="1107"/>
      <c r="D85" s="22"/>
      <c r="E85" s="22"/>
      <c r="F85" s="1555" t="str">
        <f t="shared" si="2"/>
        <v>-</v>
      </c>
      <c r="G85" s="869"/>
      <c r="H85" s="870"/>
      <c r="I85" s="871"/>
      <c r="K85" s="118">
        <f t="shared" si="3"/>
        <v>0</v>
      </c>
    </row>
    <row r="86" spans="1:11" s="119" customFormat="1" ht="12.75" thickBot="1">
      <c r="A86" s="884" t="s">
        <v>45</v>
      </c>
      <c r="B86" s="906" t="s">
        <v>305</v>
      </c>
      <c r="C86" s="1103">
        <f>+C87</f>
        <v>0</v>
      </c>
      <c r="D86" s="28">
        <f>+D87</f>
        <v>42155</v>
      </c>
      <c r="E86" s="28">
        <f>+E87</f>
        <v>42155</v>
      </c>
      <c r="F86" s="1551">
        <f t="shared" si="2"/>
        <v>1</v>
      </c>
      <c r="G86" s="110">
        <f>+G87</f>
        <v>42155</v>
      </c>
      <c r="H86" s="111">
        <f>+H87</f>
        <v>0</v>
      </c>
      <c r="I86" s="112">
        <f>+I87</f>
        <v>0</v>
      </c>
      <c r="K86" s="119">
        <f t="shared" si="3"/>
        <v>0</v>
      </c>
    </row>
    <row r="87" spans="1:11" s="119" customFormat="1" ht="12.75" thickBot="1">
      <c r="A87" s="884" t="s">
        <v>44</v>
      </c>
      <c r="B87" s="891" t="s">
        <v>922</v>
      </c>
      <c r="C87" s="1103">
        <f>+C88+C98+C99+C100</f>
        <v>0</v>
      </c>
      <c r="D87" s="28">
        <f>+D88+D98+D99+D100</f>
        <v>42155</v>
      </c>
      <c r="E87" s="28">
        <f>+E88+E98+E99+E100</f>
        <v>42155</v>
      </c>
      <c r="F87" s="1551">
        <f t="shared" si="2"/>
        <v>1</v>
      </c>
      <c r="G87" s="110">
        <f>+G88+G98+G99+G100</f>
        <v>42155</v>
      </c>
      <c r="H87" s="111">
        <f>+H88+H98+H99+H100</f>
        <v>0</v>
      </c>
      <c r="I87" s="112">
        <f>+I88+I98+I99+I100</f>
        <v>0</v>
      </c>
      <c r="K87" s="119">
        <f t="shared" si="3"/>
        <v>0</v>
      </c>
    </row>
    <row r="88" spans="1:11">
      <c r="A88" s="892" t="s">
        <v>232</v>
      </c>
      <c r="B88" s="113" t="s">
        <v>977</v>
      </c>
      <c r="C88" s="1104">
        <f>+C89+C90+C91+C92+C93+C94+C95+C96+C97</f>
        <v>0</v>
      </c>
      <c r="D88" s="10">
        <f>+D89+D90+D91+D92+D93+D94+D95+D96+D97</f>
        <v>42155</v>
      </c>
      <c r="E88" s="10">
        <f>+E89+E90+E91+E92+E93+E94+E95+E96+E97</f>
        <v>42155</v>
      </c>
      <c r="F88" s="1552">
        <f t="shared" si="2"/>
        <v>1</v>
      </c>
      <c r="G88" s="114">
        <f>+G89+G90+G91+G92+G93+G94+G95+G96+G97</f>
        <v>42155</v>
      </c>
      <c r="H88" s="115">
        <f>+H89+H90+H91+H92+H93+H94+H95+H96+H97</f>
        <v>0</v>
      </c>
      <c r="I88" s="116">
        <f>+I89+I90+I91+I92+I93+I94+I95+I96+I97</f>
        <v>0</v>
      </c>
      <c r="K88" s="118">
        <f t="shared" si="3"/>
        <v>0</v>
      </c>
    </row>
    <row r="89" spans="1:11" s="117" customFormat="1">
      <c r="A89" s="108" t="s">
        <v>233</v>
      </c>
      <c r="B89" s="109" t="s">
        <v>914</v>
      </c>
      <c r="C89" s="1105"/>
      <c r="D89" s="12"/>
      <c r="E89" s="12"/>
      <c r="F89" s="1553" t="str">
        <f t="shared" si="2"/>
        <v>-</v>
      </c>
      <c r="G89" s="656"/>
      <c r="H89" s="657"/>
      <c r="I89" s="658"/>
      <c r="K89" s="117">
        <f t="shared" si="3"/>
        <v>0</v>
      </c>
    </row>
    <row r="90" spans="1:11" s="117" customFormat="1">
      <c r="A90" s="108" t="s">
        <v>234</v>
      </c>
      <c r="B90" s="109" t="s">
        <v>247</v>
      </c>
      <c r="C90" s="1105"/>
      <c r="D90" s="12"/>
      <c r="E90" s="12"/>
      <c r="F90" s="1553" t="str">
        <f t="shared" si="2"/>
        <v>-</v>
      </c>
      <c r="G90" s="656"/>
      <c r="H90" s="657"/>
      <c r="I90" s="658"/>
      <c r="K90" s="117">
        <f t="shared" si="3"/>
        <v>0</v>
      </c>
    </row>
    <row r="91" spans="1:11" s="117" customFormat="1">
      <c r="A91" s="108" t="s">
        <v>235</v>
      </c>
      <c r="B91" s="109" t="s">
        <v>248</v>
      </c>
      <c r="C91" s="1105"/>
      <c r="D91" s="12"/>
      <c r="E91" s="12"/>
      <c r="F91" s="1553" t="str">
        <f t="shared" si="2"/>
        <v>-</v>
      </c>
      <c r="G91" s="656"/>
      <c r="H91" s="657"/>
      <c r="I91" s="658"/>
      <c r="K91" s="117">
        <f t="shared" si="3"/>
        <v>0</v>
      </c>
    </row>
    <row r="92" spans="1:11" s="117" customFormat="1">
      <c r="A92" s="108" t="s">
        <v>236</v>
      </c>
      <c r="B92" s="109" t="s">
        <v>249</v>
      </c>
      <c r="C92" s="1105"/>
      <c r="D92" s="12"/>
      <c r="E92" s="12"/>
      <c r="F92" s="1553" t="str">
        <f t="shared" si="2"/>
        <v>-</v>
      </c>
      <c r="G92" s="656"/>
      <c r="H92" s="657"/>
      <c r="I92" s="658"/>
      <c r="K92" s="117">
        <f t="shared" si="3"/>
        <v>0</v>
      </c>
    </row>
    <row r="93" spans="1:11" s="117" customFormat="1">
      <c r="A93" s="108" t="s">
        <v>237</v>
      </c>
      <c r="B93" s="109" t="s">
        <v>250</v>
      </c>
      <c r="C93" s="1105"/>
      <c r="D93" s="12"/>
      <c r="E93" s="12"/>
      <c r="F93" s="1553" t="str">
        <f t="shared" si="2"/>
        <v>-</v>
      </c>
      <c r="G93" s="656"/>
      <c r="H93" s="657"/>
      <c r="I93" s="658"/>
      <c r="K93" s="117">
        <f t="shared" si="3"/>
        <v>0</v>
      </c>
    </row>
    <row r="94" spans="1:11" s="117" customFormat="1">
      <c r="A94" s="108" t="s">
        <v>238</v>
      </c>
      <c r="B94" s="109" t="s">
        <v>251</v>
      </c>
      <c r="C94" s="1105">
        <f t="shared" ref="C94:E94" si="5">+C149-C50+C192-C89-C90-C91-C92-C93-C95-C96-C98-C99-C100</f>
        <v>0</v>
      </c>
      <c r="D94" s="12">
        <f t="shared" si="5"/>
        <v>42155</v>
      </c>
      <c r="E94" s="12">
        <f t="shared" si="5"/>
        <v>42155</v>
      </c>
      <c r="F94" s="1554">
        <f t="shared" si="2"/>
        <v>1</v>
      </c>
      <c r="G94" s="656">
        <f>+G149-G50+G192-G89-G90-G91-G92-G93-G95-G96-G98-G99-G100</f>
        <v>42155</v>
      </c>
      <c r="H94" s="657">
        <f>+H149-H50+H192-H89-H90-H91-H92-H93-H95-H96-H98-H99-H100</f>
        <v>0</v>
      </c>
      <c r="I94" s="658">
        <f>+I149-I50+I192-I89-I90-I91-I92-I93-I95-I96-I98-I99-I100</f>
        <v>0</v>
      </c>
      <c r="K94" s="117">
        <f t="shared" si="3"/>
        <v>0</v>
      </c>
    </row>
    <row r="95" spans="1:11" s="117" customFormat="1">
      <c r="A95" s="108" t="s">
        <v>239</v>
      </c>
      <c r="B95" s="109" t="s">
        <v>252</v>
      </c>
      <c r="C95" s="1105"/>
      <c r="D95" s="12"/>
      <c r="E95" s="12"/>
      <c r="F95" s="1553" t="str">
        <f t="shared" si="2"/>
        <v>-</v>
      </c>
      <c r="G95" s="656"/>
      <c r="H95" s="657"/>
      <c r="I95" s="658"/>
      <c r="K95" s="13">
        <f t="shared" si="3"/>
        <v>0</v>
      </c>
    </row>
    <row r="96" spans="1:11" s="117" customFormat="1">
      <c r="A96" s="108" t="s">
        <v>240</v>
      </c>
      <c r="B96" s="109" t="s">
        <v>245</v>
      </c>
      <c r="C96" s="1105"/>
      <c r="D96" s="12"/>
      <c r="E96" s="12"/>
      <c r="F96" s="1553" t="str">
        <f t="shared" si="2"/>
        <v>-</v>
      </c>
      <c r="G96" s="656"/>
      <c r="H96" s="657"/>
      <c r="I96" s="658"/>
      <c r="K96" s="13">
        <f t="shared" si="3"/>
        <v>0</v>
      </c>
    </row>
    <row r="97" spans="1:11" s="117" customFormat="1">
      <c r="A97" s="108" t="s">
        <v>921</v>
      </c>
      <c r="B97" s="109" t="s">
        <v>917</v>
      </c>
      <c r="C97" s="1105"/>
      <c r="D97" s="12"/>
      <c r="E97" s="12"/>
      <c r="F97" s="1553" t="str">
        <f t="shared" si="2"/>
        <v>-</v>
      </c>
      <c r="G97" s="656"/>
      <c r="H97" s="657"/>
      <c r="I97" s="658"/>
      <c r="K97" s="13">
        <f t="shared" si="3"/>
        <v>0</v>
      </c>
    </row>
    <row r="98" spans="1:11">
      <c r="A98" s="896" t="s">
        <v>241</v>
      </c>
      <c r="B98" s="897" t="s">
        <v>243</v>
      </c>
      <c r="C98" s="1106"/>
      <c r="D98" s="11"/>
      <c r="E98" s="11"/>
      <c r="F98" s="1553" t="str">
        <f t="shared" si="2"/>
        <v>-</v>
      </c>
      <c r="G98" s="866"/>
      <c r="H98" s="867"/>
      <c r="I98" s="868"/>
      <c r="K98" s="4">
        <f t="shared" si="3"/>
        <v>0</v>
      </c>
    </row>
    <row r="99" spans="1:11">
      <c r="A99" s="898" t="s">
        <v>242</v>
      </c>
      <c r="B99" s="899" t="s">
        <v>244</v>
      </c>
      <c r="C99" s="1107"/>
      <c r="D99" s="22"/>
      <c r="E99" s="22"/>
      <c r="F99" s="1555" t="str">
        <f t="shared" si="2"/>
        <v>-</v>
      </c>
      <c r="G99" s="869"/>
      <c r="H99" s="870"/>
      <c r="I99" s="871"/>
      <c r="K99" s="4">
        <f t="shared" si="3"/>
        <v>0</v>
      </c>
    </row>
    <row r="100" spans="1:11" ht="12.75" thickBot="1">
      <c r="A100" s="898" t="s">
        <v>923</v>
      </c>
      <c r="B100" s="899" t="s">
        <v>919</v>
      </c>
      <c r="C100" s="1107"/>
      <c r="D100" s="22"/>
      <c r="E100" s="22"/>
      <c r="F100" s="1555" t="str">
        <f t="shared" si="2"/>
        <v>-</v>
      </c>
      <c r="G100" s="869"/>
      <c r="H100" s="870"/>
      <c r="I100" s="871"/>
      <c r="K100" s="4">
        <f t="shared" si="3"/>
        <v>0</v>
      </c>
    </row>
    <row r="101" spans="1:11" s="119" customFormat="1" ht="12.75" thickBot="1">
      <c r="A101" s="884" t="s">
        <v>43</v>
      </c>
      <c r="B101" s="905" t="s">
        <v>306</v>
      </c>
      <c r="C101" s="1103">
        <f>+C71+C86</f>
        <v>73861</v>
      </c>
      <c r="D101" s="28">
        <f>+D71+D86</f>
        <v>118258</v>
      </c>
      <c r="E101" s="28">
        <f>+E71+E86</f>
        <v>118222</v>
      </c>
      <c r="F101" s="1551">
        <f t="shared" si="2"/>
        <v>0.99969558084865295</v>
      </c>
      <c r="G101" s="110">
        <f>+G71+G86</f>
        <v>118222</v>
      </c>
      <c r="H101" s="111">
        <f>+H71+H86</f>
        <v>0</v>
      </c>
      <c r="I101" s="112">
        <f>+I71+I86</f>
        <v>0</v>
      </c>
      <c r="K101" s="3">
        <f t="shared" si="3"/>
        <v>0</v>
      </c>
    </row>
    <row r="102" spans="1:11" s="119" customFormat="1" ht="12.75" thickBot="1">
      <c r="A102" s="907" t="s">
        <v>40</v>
      </c>
      <c r="B102" s="908" t="s">
        <v>307</v>
      </c>
      <c r="C102" s="1109">
        <f>+C70+C101</f>
        <v>73861</v>
      </c>
      <c r="D102" s="25">
        <f>+D70+D101</f>
        <v>118258</v>
      </c>
      <c r="E102" s="25">
        <f>+E70+E101</f>
        <v>118222</v>
      </c>
      <c r="F102" s="1556">
        <f t="shared" si="2"/>
        <v>0.99969558084865295</v>
      </c>
      <c r="G102" s="909">
        <f>+G70+G101</f>
        <v>118222</v>
      </c>
      <c r="H102" s="910">
        <f>+H70+H101</f>
        <v>0</v>
      </c>
      <c r="I102" s="911">
        <f>+I70+I101</f>
        <v>0</v>
      </c>
      <c r="K102" s="3">
        <f t="shared" si="3"/>
        <v>0</v>
      </c>
    </row>
    <row r="103" spans="1:11" s="119" customFormat="1">
      <c r="A103" s="912"/>
      <c r="B103" s="913"/>
      <c r="C103" s="30"/>
      <c r="D103" s="30"/>
      <c r="E103" s="30"/>
      <c r="F103" s="1548"/>
      <c r="G103" s="913"/>
      <c r="H103" s="913"/>
      <c r="I103" s="913"/>
      <c r="K103" s="3"/>
    </row>
    <row r="104" spans="1:11" s="119" customFormat="1">
      <c r="A104" s="912"/>
      <c r="B104" s="913"/>
      <c r="C104" s="30"/>
      <c r="D104" s="30"/>
      <c r="E104" s="30"/>
      <c r="F104" s="1557"/>
      <c r="G104" s="913"/>
      <c r="H104" s="913"/>
      <c r="I104" s="913"/>
      <c r="K104" s="3"/>
    </row>
    <row r="105" spans="1:11" s="874" customFormat="1" ht="15.75">
      <c r="A105" s="1794" t="s">
        <v>80</v>
      </c>
      <c r="B105" s="1794"/>
      <c r="C105" s="1794"/>
      <c r="D105" s="1794"/>
      <c r="E105" s="1794"/>
      <c r="F105" s="1794"/>
      <c r="G105" s="1794"/>
      <c r="H105" s="1794"/>
      <c r="I105" s="1794"/>
      <c r="K105" s="52"/>
    </row>
    <row r="106" spans="1:11" s="876" customFormat="1" ht="12.75" thickBot="1">
      <c r="A106" s="875" t="s">
        <v>279</v>
      </c>
      <c r="C106" s="36"/>
      <c r="D106" s="36"/>
      <c r="E106" s="36"/>
      <c r="F106" s="1548"/>
      <c r="I106" s="877" t="s">
        <v>281</v>
      </c>
      <c r="K106" s="36"/>
    </row>
    <row r="107" spans="1:11" s="119" customFormat="1" ht="48.75" thickBot="1">
      <c r="A107" s="878" t="s">
        <v>17</v>
      </c>
      <c r="B107" s="914" t="s">
        <v>329</v>
      </c>
      <c r="C107" s="1101" t="s">
        <v>1553</v>
      </c>
      <c r="D107" s="6" t="s">
        <v>1554</v>
      </c>
      <c r="E107" s="6" t="s">
        <v>2646</v>
      </c>
      <c r="F107" s="1549" t="s">
        <v>2645</v>
      </c>
      <c r="G107" s="5" t="s">
        <v>51</v>
      </c>
      <c r="H107" s="6" t="s">
        <v>52</v>
      </c>
      <c r="I107" s="7" t="s">
        <v>53</v>
      </c>
      <c r="K107" s="3"/>
    </row>
    <row r="108" spans="1:11" s="119" customFormat="1" ht="13.5" customHeight="1" thickBot="1">
      <c r="A108" s="915" t="s">
        <v>253</v>
      </c>
      <c r="B108" s="916" t="s">
        <v>254</v>
      </c>
      <c r="C108" s="1795" t="s">
        <v>255</v>
      </c>
      <c r="D108" s="1796"/>
      <c r="E108" s="1796"/>
      <c r="F108" s="1796"/>
      <c r="G108" s="1796"/>
      <c r="H108" s="1796"/>
      <c r="I108" s="1797"/>
      <c r="K108" s="3"/>
    </row>
    <row r="109" spans="1:11" s="119" customFormat="1" ht="12.75" thickBot="1">
      <c r="A109" s="884" t="s">
        <v>4</v>
      </c>
      <c r="B109" s="905" t="s">
        <v>308</v>
      </c>
      <c r="C109" s="1103">
        <f>+C110+C114+C116+C123+C132</f>
        <v>73861</v>
      </c>
      <c r="D109" s="28">
        <f>+D110+D114+D116+D123+D132</f>
        <v>76103</v>
      </c>
      <c r="E109" s="28">
        <f>+E110+E114+E116+E123+E132</f>
        <v>76027</v>
      </c>
      <c r="F109" s="1558">
        <f t="shared" ref="F109:F172" si="6">IF(ISERROR(E109/D109),"-",E109/D109)</f>
        <v>0.99900135342890561</v>
      </c>
      <c r="G109" s="110">
        <f>+G110+G114+G116+G123+G132</f>
        <v>76027</v>
      </c>
      <c r="H109" s="111">
        <f>+H110+H114+H116+H123+H132</f>
        <v>0</v>
      </c>
      <c r="I109" s="112">
        <f>+I110+I114+I116+I123+I132</f>
        <v>0</v>
      </c>
      <c r="K109" s="3">
        <f t="shared" ref="K109:K172" si="7">+E109-G109-H109-I109</f>
        <v>0</v>
      </c>
    </row>
    <row r="110" spans="1:11" s="119" customFormat="1" ht="12.75" thickBot="1">
      <c r="A110" s="884" t="s">
        <v>5</v>
      </c>
      <c r="B110" s="891" t="s">
        <v>309</v>
      </c>
      <c r="C110" s="1103">
        <f>+C112+C113</f>
        <v>54370</v>
      </c>
      <c r="D110" s="28">
        <f>+D112+D113</f>
        <v>58638</v>
      </c>
      <c r="E110" s="28">
        <f>+E112+E113</f>
        <v>58588</v>
      </c>
      <c r="F110" s="1558">
        <f t="shared" si="6"/>
        <v>0.99914731061768813</v>
      </c>
      <c r="G110" s="110">
        <f>+G112+G113</f>
        <v>58588</v>
      </c>
      <c r="H110" s="111">
        <f>+H112+H113</f>
        <v>0</v>
      </c>
      <c r="I110" s="112">
        <f>+I112+I113</f>
        <v>0</v>
      </c>
      <c r="K110" s="3">
        <f t="shared" si="7"/>
        <v>0</v>
      </c>
    </row>
    <row r="111" spans="1:11" s="876" customFormat="1">
      <c r="A111" s="917" t="s">
        <v>349</v>
      </c>
      <c r="B111" s="918" t="s">
        <v>350</v>
      </c>
      <c r="C111" s="1110"/>
      <c r="D111" s="97"/>
      <c r="E111" s="97"/>
      <c r="F111" s="1559" t="str">
        <f t="shared" si="6"/>
        <v>-</v>
      </c>
      <c r="G111" s="919"/>
      <c r="H111" s="920"/>
      <c r="I111" s="921"/>
      <c r="K111" s="36">
        <f t="shared" si="7"/>
        <v>0</v>
      </c>
    </row>
    <row r="112" spans="1:11">
      <c r="A112" s="892" t="s">
        <v>54</v>
      </c>
      <c r="B112" s="113" t="s">
        <v>127</v>
      </c>
      <c r="C112" s="1104">
        <v>54154</v>
      </c>
      <c r="D112" s="10">
        <v>58544</v>
      </c>
      <c r="E112" s="10">
        <v>58544</v>
      </c>
      <c r="F112" s="1560">
        <f t="shared" si="6"/>
        <v>1</v>
      </c>
      <c r="G112" s="114">
        <v>58544</v>
      </c>
      <c r="H112" s="115"/>
      <c r="I112" s="116"/>
      <c r="K112" s="4">
        <f t="shared" si="7"/>
        <v>0</v>
      </c>
    </row>
    <row r="113" spans="1:11" ht="12.75" thickBot="1">
      <c r="A113" s="898" t="s">
        <v>55</v>
      </c>
      <c r="B113" s="899" t="s">
        <v>128</v>
      </c>
      <c r="C113" s="1107">
        <v>216</v>
      </c>
      <c r="D113" s="22">
        <v>94</v>
      </c>
      <c r="E113" s="22">
        <v>44</v>
      </c>
      <c r="F113" s="1561">
        <f t="shared" si="6"/>
        <v>0.46808510638297873</v>
      </c>
      <c r="G113" s="869">
        <v>44</v>
      </c>
      <c r="H113" s="870"/>
      <c r="I113" s="871"/>
      <c r="K113" s="4">
        <f t="shared" si="7"/>
        <v>0</v>
      </c>
    </row>
    <row r="114" spans="1:11" s="119" customFormat="1" ht="12.75" thickBot="1">
      <c r="A114" s="884" t="s">
        <v>6</v>
      </c>
      <c r="B114" s="891" t="s">
        <v>256</v>
      </c>
      <c r="C114" s="1103">
        <v>10571</v>
      </c>
      <c r="D114" s="28">
        <v>10844</v>
      </c>
      <c r="E114" s="28">
        <v>10844</v>
      </c>
      <c r="F114" s="1558">
        <f t="shared" si="6"/>
        <v>1</v>
      </c>
      <c r="G114" s="110">
        <v>10844</v>
      </c>
      <c r="H114" s="111"/>
      <c r="I114" s="112"/>
      <c r="K114" s="3">
        <f t="shared" si="7"/>
        <v>0</v>
      </c>
    </row>
    <row r="115" spans="1:11" s="876" customFormat="1" ht="12.75" thickBot="1">
      <c r="A115" s="917" t="s">
        <v>346</v>
      </c>
      <c r="B115" s="918" t="s">
        <v>347</v>
      </c>
      <c r="C115" s="1110"/>
      <c r="D115" s="97"/>
      <c r="E115" s="97"/>
      <c r="F115" s="1559" t="str">
        <f t="shared" si="6"/>
        <v>-</v>
      </c>
      <c r="G115" s="919"/>
      <c r="H115" s="920"/>
      <c r="I115" s="921"/>
      <c r="K115" s="36">
        <f t="shared" si="7"/>
        <v>0</v>
      </c>
    </row>
    <row r="116" spans="1:11" s="119" customFormat="1" ht="12.75" thickBot="1">
      <c r="A116" s="884" t="s">
        <v>3</v>
      </c>
      <c r="B116" s="891" t="s">
        <v>343</v>
      </c>
      <c r="C116" s="1103">
        <f>+C118+C119+C120+C121+C122</f>
        <v>8920</v>
      </c>
      <c r="D116" s="28">
        <f>+D118+D119+D120+D121+D122</f>
        <v>6474</v>
      </c>
      <c r="E116" s="28">
        <f>+E118+E119+E120+E121+E122</f>
        <v>6448</v>
      </c>
      <c r="F116" s="1558">
        <f t="shared" si="6"/>
        <v>0.99598393574297184</v>
      </c>
      <c r="G116" s="110">
        <v>6448</v>
      </c>
      <c r="H116" s="111">
        <f>+H118+H119+H120+H121+H122</f>
        <v>0</v>
      </c>
      <c r="I116" s="112">
        <f>+I118+I119+I120+I121+I122</f>
        <v>0</v>
      </c>
      <c r="K116" s="3">
        <f t="shared" si="7"/>
        <v>0</v>
      </c>
    </row>
    <row r="117" spans="1:11" s="876" customFormat="1">
      <c r="A117" s="917" t="s">
        <v>341</v>
      </c>
      <c r="B117" s="918" t="s">
        <v>348</v>
      </c>
      <c r="C117" s="1110"/>
      <c r="D117" s="97"/>
      <c r="E117" s="97"/>
      <c r="F117" s="1559" t="str">
        <f t="shared" si="6"/>
        <v>-</v>
      </c>
      <c r="G117" s="919"/>
      <c r="H117" s="920"/>
      <c r="I117" s="921"/>
      <c r="K117" s="36">
        <f t="shared" si="7"/>
        <v>0</v>
      </c>
    </row>
    <row r="118" spans="1:11">
      <c r="A118" s="892" t="s">
        <v>61</v>
      </c>
      <c r="B118" s="113" t="s">
        <v>129</v>
      </c>
      <c r="C118" s="1104">
        <v>1050</v>
      </c>
      <c r="D118" s="10">
        <v>1333</v>
      </c>
      <c r="E118" s="10">
        <v>1333</v>
      </c>
      <c r="F118" s="1560">
        <f t="shared" si="6"/>
        <v>1</v>
      </c>
      <c r="G118" s="114">
        <v>1333</v>
      </c>
      <c r="H118" s="115"/>
      <c r="I118" s="116"/>
      <c r="K118" s="4">
        <f t="shared" si="7"/>
        <v>0</v>
      </c>
    </row>
    <row r="119" spans="1:11">
      <c r="A119" s="896" t="s">
        <v>62</v>
      </c>
      <c r="B119" s="897" t="s">
        <v>130</v>
      </c>
      <c r="C119" s="1106">
        <v>1680</v>
      </c>
      <c r="D119" s="11">
        <v>1113</v>
      </c>
      <c r="E119" s="11">
        <v>1113</v>
      </c>
      <c r="F119" s="1562">
        <f t="shared" si="6"/>
        <v>1</v>
      </c>
      <c r="G119" s="866">
        <v>1113</v>
      </c>
      <c r="H119" s="867"/>
      <c r="I119" s="868"/>
      <c r="K119" s="4">
        <f t="shared" si="7"/>
        <v>0</v>
      </c>
    </row>
    <row r="120" spans="1:11">
      <c r="A120" s="896" t="s">
        <v>63</v>
      </c>
      <c r="B120" s="897" t="s">
        <v>131</v>
      </c>
      <c r="C120" s="1106">
        <v>3666</v>
      </c>
      <c r="D120" s="11">
        <v>2678</v>
      </c>
      <c r="E120" s="11">
        <v>2668</v>
      </c>
      <c r="F120" s="1562">
        <f t="shared" si="6"/>
        <v>0.99626587005227785</v>
      </c>
      <c r="G120" s="866">
        <v>2668</v>
      </c>
      <c r="H120" s="867"/>
      <c r="I120" s="868"/>
      <c r="K120" s="4">
        <f t="shared" si="7"/>
        <v>0</v>
      </c>
    </row>
    <row r="121" spans="1:11">
      <c r="A121" s="896" t="s">
        <v>64</v>
      </c>
      <c r="B121" s="897" t="s">
        <v>132</v>
      </c>
      <c r="C121" s="1106">
        <v>1500</v>
      </c>
      <c r="D121" s="11">
        <v>394</v>
      </c>
      <c r="E121" s="11">
        <v>394</v>
      </c>
      <c r="F121" s="1562">
        <f t="shared" si="6"/>
        <v>1</v>
      </c>
      <c r="G121" s="866">
        <v>394</v>
      </c>
      <c r="H121" s="867"/>
      <c r="I121" s="868"/>
      <c r="K121" s="4">
        <f t="shared" si="7"/>
        <v>0</v>
      </c>
    </row>
    <row r="122" spans="1:11" ht="12.75" thickBot="1">
      <c r="A122" s="898" t="s">
        <v>65</v>
      </c>
      <c r="B122" s="899" t="s">
        <v>133</v>
      </c>
      <c r="C122" s="1107">
        <v>1024</v>
      </c>
      <c r="D122" s="22">
        <v>956</v>
      </c>
      <c r="E122" s="22">
        <v>940</v>
      </c>
      <c r="F122" s="1561">
        <f t="shared" si="6"/>
        <v>0.98326359832635979</v>
      </c>
      <c r="G122" s="869">
        <v>940</v>
      </c>
      <c r="H122" s="870"/>
      <c r="I122" s="871"/>
      <c r="K122" s="4">
        <f t="shared" si="7"/>
        <v>0</v>
      </c>
    </row>
    <row r="123" spans="1:11" s="119" customFormat="1" ht="12.75" thickBot="1">
      <c r="A123" s="884" t="s">
        <v>16</v>
      </c>
      <c r="B123" s="891" t="s">
        <v>310</v>
      </c>
      <c r="C123" s="1103">
        <f>+C124+C125+C126+C127+C128+C129+C130+C131</f>
        <v>0</v>
      </c>
      <c r="D123" s="28">
        <f>+D124+D125+D126+D127+D128+D129+D130+D131</f>
        <v>0</v>
      </c>
      <c r="E123" s="28">
        <f>+E124+E125+E126+E127+E128+E129+E130+E131</f>
        <v>0</v>
      </c>
      <c r="F123" s="1558" t="str">
        <f t="shared" si="6"/>
        <v>-</v>
      </c>
      <c r="G123" s="110">
        <f>+G124+G125+G126+G127+G128+G129+G130+G131</f>
        <v>0</v>
      </c>
      <c r="H123" s="111">
        <f>+H124+H125+H126+H127+H128+H129+H130+H131</f>
        <v>0</v>
      </c>
      <c r="I123" s="112">
        <f>+I124+I125+I126+I127+I128+I129+I130+I131</f>
        <v>0</v>
      </c>
      <c r="K123" s="3">
        <f t="shared" si="7"/>
        <v>0</v>
      </c>
    </row>
    <row r="124" spans="1:11">
      <c r="A124" s="892" t="s">
        <v>227</v>
      </c>
      <c r="B124" s="113" t="s">
        <v>134</v>
      </c>
      <c r="C124" s="1104"/>
      <c r="D124" s="10"/>
      <c r="E124" s="10"/>
      <c r="F124" s="1560" t="str">
        <f t="shared" si="6"/>
        <v>-</v>
      </c>
      <c r="G124" s="114"/>
      <c r="H124" s="115"/>
      <c r="I124" s="116"/>
      <c r="K124" s="4">
        <f t="shared" si="7"/>
        <v>0</v>
      </c>
    </row>
    <row r="125" spans="1:11">
      <c r="A125" s="896" t="s">
        <v>228</v>
      </c>
      <c r="B125" s="897" t="s">
        <v>135</v>
      </c>
      <c r="C125" s="1106"/>
      <c r="D125" s="11"/>
      <c r="E125" s="11"/>
      <c r="F125" s="1562" t="str">
        <f t="shared" si="6"/>
        <v>-</v>
      </c>
      <c r="G125" s="866"/>
      <c r="H125" s="867"/>
      <c r="I125" s="868"/>
      <c r="K125" s="4">
        <f t="shared" si="7"/>
        <v>0</v>
      </c>
    </row>
    <row r="126" spans="1:11">
      <c r="A126" s="896" t="s">
        <v>229</v>
      </c>
      <c r="B126" s="897" t="s">
        <v>136</v>
      </c>
      <c r="C126" s="1106"/>
      <c r="D126" s="11"/>
      <c r="E126" s="11"/>
      <c r="F126" s="1562" t="str">
        <f t="shared" si="6"/>
        <v>-</v>
      </c>
      <c r="G126" s="866"/>
      <c r="H126" s="867"/>
      <c r="I126" s="868"/>
      <c r="K126" s="4">
        <f t="shared" si="7"/>
        <v>0</v>
      </c>
    </row>
    <row r="127" spans="1:11">
      <c r="A127" s="896" t="s">
        <v>257</v>
      </c>
      <c r="B127" s="897" t="s">
        <v>137</v>
      </c>
      <c r="C127" s="1106"/>
      <c r="D127" s="11"/>
      <c r="E127" s="11"/>
      <c r="F127" s="1562" t="str">
        <f t="shared" si="6"/>
        <v>-</v>
      </c>
      <c r="G127" s="866"/>
      <c r="H127" s="867"/>
      <c r="I127" s="868"/>
      <c r="K127" s="4">
        <f t="shared" si="7"/>
        <v>0</v>
      </c>
    </row>
    <row r="128" spans="1:11">
      <c r="A128" s="896" t="s">
        <v>258</v>
      </c>
      <c r="B128" s="897" t="s">
        <v>138</v>
      </c>
      <c r="C128" s="1106"/>
      <c r="D128" s="11"/>
      <c r="E128" s="11"/>
      <c r="F128" s="1562" t="str">
        <f t="shared" si="6"/>
        <v>-</v>
      </c>
      <c r="G128" s="866"/>
      <c r="H128" s="867"/>
      <c r="I128" s="868"/>
      <c r="K128" s="4">
        <f t="shared" si="7"/>
        <v>0</v>
      </c>
    </row>
    <row r="129" spans="1:11">
      <c r="A129" s="896" t="s">
        <v>259</v>
      </c>
      <c r="B129" s="897" t="s">
        <v>139</v>
      </c>
      <c r="C129" s="1106"/>
      <c r="D129" s="11"/>
      <c r="E129" s="11"/>
      <c r="F129" s="1562" t="str">
        <f t="shared" si="6"/>
        <v>-</v>
      </c>
      <c r="G129" s="866"/>
      <c r="H129" s="867"/>
      <c r="I129" s="868"/>
      <c r="K129" s="4">
        <f t="shared" si="7"/>
        <v>0</v>
      </c>
    </row>
    <row r="130" spans="1:11">
      <c r="A130" s="896" t="s">
        <v>260</v>
      </c>
      <c r="B130" s="897" t="s">
        <v>140</v>
      </c>
      <c r="C130" s="1106"/>
      <c r="D130" s="11"/>
      <c r="E130" s="11"/>
      <c r="F130" s="1562" t="str">
        <f t="shared" si="6"/>
        <v>-</v>
      </c>
      <c r="G130" s="866"/>
      <c r="H130" s="867"/>
      <c r="I130" s="868"/>
      <c r="K130" s="4">
        <f t="shared" si="7"/>
        <v>0</v>
      </c>
    </row>
    <row r="131" spans="1:11" ht="12.75" thickBot="1">
      <c r="A131" s="898" t="s">
        <v>261</v>
      </c>
      <c r="B131" s="899" t="s">
        <v>141</v>
      </c>
      <c r="C131" s="1107"/>
      <c r="D131" s="22"/>
      <c r="E131" s="22"/>
      <c r="F131" s="1561" t="str">
        <f t="shared" si="6"/>
        <v>-</v>
      </c>
      <c r="G131" s="869"/>
      <c r="H131" s="870"/>
      <c r="I131" s="871"/>
      <c r="K131" s="4">
        <f t="shared" si="7"/>
        <v>0</v>
      </c>
    </row>
    <row r="132" spans="1:11" s="119" customFormat="1" ht="12.75" thickBot="1">
      <c r="A132" s="884" t="s">
        <v>15</v>
      </c>
      <c r="B132" s="891" t="s">
        <v>927</v>
      </c>
      <c r="C132" s="1103">
        <f>+C133+C134+C135+C136+C137+C138+C140+C141+C142+C143+C144+C145+C146</f>
        <v>0</v>
      </c>
      <c r="D132" s="28">
        <f>+D133+D134+D135+D136+D137+D138+D140+D141+D142+D143+D144+D145+D146</f>
        <v>147</v>
      </c>
      <c r="E132" s="28">
        <f>+E133+E134+E135+E136+E137+E138+E140+E141+E142+E143+E144+E145+E146</f>
        <v>147</v>
      </c>
      <c r="F132" s="1558">
        <f t="shared" si="6"/>
        <v>1</v>
      </c>
      <c r="G132" s="110">
        <f>+G133+G134+G135+G136+G137+G138+G140+G141+G142+G143+G144+G145+G146</f>
        <v>147</v>
      </c>
      <c r="H132" s="111">
        <f>+H133+H134+H135+H136+H137+H138+H140+H141+H142+H143+H144+H145+H146</f>
        <v>0</v>
      </c>
      <c r="I132" s="112">
        <f>+I133+I134+I135+I136+I137+I138+I140+I141+I142+I143+I144+I145+I146</f>
        <v>0</v>
      </c>
      <c r="K132" s="3">
        <f t="shared" si="7"/>
        <v>0</v>
      </c>
    </row>
    <row r="133" spans="1:11">
      <c r="A133" s="892" t="s">
        <v>87</v>
      </c>
      <c r="B133" s="113" t="s">
        <v>142</v>
      </c>
      <c r="C133" s="1104"/>
      <c r="D133" s="10"/>
      <c r="E133" s="10"/>
      <c r="F133" s="1560" t="str">
        <f t="shared" si="6"/>
        <v>-</v>
      </c>
      <c r="G133" s="114"/>
      <c r="H133" s="115"/>
      <c r="I133" s="116"/>
      <c r="K133" s="4">
        <f t="shared" si="7"/>
        <v>0</v>
      </c>
    </row>
    <row r="134" spans="1:11">
      <c r="A134" s="896" t="s">
        <v>88</v>
      </c>
      <c r="B134" s="897" t="s">
        <v>143</v>
      </c>
      <c r="C134" s="1106"/>
      <c r="D134" s="11">
        <f>0+147</f>
        <v>147</v>
      </c>
      <c r="E134" s="11">
        <v>147</v>
      </c>
      <c r="F134" s="1562">
        <f t="shared" si="6"/>
        <v>1</v>
      </c>
      <c r="G134" s="866">
        <v>147</v>
      </c>
      <c r="H134" s="867"/>
      <c r="I134" s="868"/>
      <c r="K134" s="4">
        <f t="shared" si="7"/>
        <v>0</v>
      </c>
    </row>
    <row r="135" spans="1:11">
      <c r="A135" s="896" t="s">
        <v>182</v>
      </c>
      <c r="B135" s="897" t="s">
        <v>144</v>
      </c>
      <c r="C135" s="1106"/>
      <c r="D135" s="11"/>
      <c r="E135" s="11"/>
      <c r="F135" s="1562" t="str">
        <f t="shared" si="6"/>
        <v>-</v>
      </c>
      <c r="G135" s="866"/>
      <c r="H135" s="867"/>
      <c r="I135" s="868"/>
      <c r="K135" s="4">
        <f t="shared" si="7"/>
        <v>0</v>
      </c>
    </row>
    <row r="136" spans="1:11">
      <c r="A136" s="896" t="s">
        <v>183</v>
      </c>
      <c r="B136" s="897" t="s">
        <v>145</v>
      </c>
      <c r="C136" s="1106"/>
      <c r="D136" s="11"/>
      <c r="E136" s="11"/>
      <c r="F136" s="1562" t="str">
        <f t="shared" si="6"/>
        <v>-</v>
      </c>
      <c r="G136" s="866"/>
      <c r="H136" s="867"/>
      <c r="I136" s="868"/>
      <c r="K136" s="4">
        <f t="shared" si="7"/>
        <v>0</v>
      </c>
    </row>
    <row r="137" spans="1:11">
      <c r="A137" s="896" t="s">
        <v>184</v>
      </c>
      <c r="B137" s="897" t="s">
        <v>146</v>
      </c>
      <c r="C137" s="1106"/>
      <c r="D137" s="11"/>
      <c r="E137" s="11"/>
      <c r="F137" s="1562" t="str">
        <f t="shared" si="6"/>
        <v>-</v>
      </c>
      <c r="G137" s="866"/>
      <c r="H137" s="867"/>
      <c r="I137" s="868"/>
      <c r="K137" s="4">
        <f t="shared" si="7"/>
        <v>0</v>
      </c>
    </row>
    <row r="138" spans="1:11">
      <c r="A138" s="896" t="s">
        <v>262</v>
      </c>
      <c r="B138" s="897" t="s">
        <v>147</v>
      </c>
      <c r="C138" s="1106"/>
      <c r="D138" s="11"/>
      <c r="E138" s="11"/>
      <c r="F138" s="1562" t="str">
        <f t="shared" si="6"/>
        <v>-</v>
      </c>
      <c r="G138" s="866"/>
      <c r="H138" s="867"/>
      <c r="I138" s="868"/>
      <c r="K138" s="4">
        <f t="shared" si="7"/>
        <v>0</v>
      </c>
    </row>
    <row r="139" spans="1:11" s="117" customFormat="1">
      <c r="A139" s="900" t="s">
        <v>336</v>
      </c>
      <c r="B139" s="901" t="s">
        <v>933</v>
      </c>
      <c r="C139" s="1108"/>
      <c r="D139" s="43"/>
      <c r="E139" s="43"/>
      <c r="F139" s="1561" t="str">
        <f t="shared" si="6"/>
        <v>-</v>
      </c>
      <c r="G139" s="902"/>
      <c r="H139" s="903"/>
      <c r="I139" s="904"/>
      <c r="K139" s="13">
        <f t="shared" si="7"/>
        <v>0</v>
      </c>
    </row>
    <row r="140" spans="1:11">
      <c r="A140" s="896" t="s">
        <v>263</v>
      </c>
      <c r="B140" s="897" t="s">
        <v>148</v>
      </c>
      <c r="C140" s="1106"/>
      <c r="D140" s="11"/>
      <c r="E140" s="11"/>
      <c r="F140" s="1562" t="str">
        <f t="shared" si="6"/>
        <v>-</v>
      </c>
      <c r="G140" s="866"/>
      <c r="H140" s="867"/>
      <c r="I140" s="868"/>
      <c r="K140" s="4">
        <f t="shared" si="7"/>
        <v>0</v>
      </c>
    </row>
    <row r="141" spans="1:11">
      <c r="A141" s="896" t="s">
        <v>264</v>
      </c>
      <c r="B141" s="897" t="s">
        <v>149</v>
      </c>
      <c r="C141" s="1106"/>
      <c r="D141" s="11"/>
      <c r="E141" s="11"/>
      <c r="F141" s="1562" t="str">
        <f t="shared" si="6"/>
        <v>-</v>
      </c>
      <c r="G141" s="866"/>
      <c r="H141" s="867"/>
      <c r="I141" s="868"/>
      <c r="K141" s="4">
        <f t="shared" si="7"/>
        <v>0</v>
      </c>
    </row>
    <row r="142" spans="1:11">
      <c r="A142" s="896" t="s">
        <v>265</v>
      </c>
      <c r="B142" s="897" t="s">
        <v>150</v>
      </c>
      <c r="C142" s="1106"/>
      <c r="D142" s="11"/>
      <c r="E142" s="11"/>
      <c r="F142" s="1562" t="str">
        <f t="shared" si="6"/>
        <v>-</v>
      </c>
      <c r="G142" s="866"/>
      <c r="H142" s="867"/>
      <c r="I142" s="868"/>
      <c r="K142" s="4">
        <f t="shared" si="7"/>
        <v>0</v>
      </c>
    </row>
    <row r="143" spans="1:11">
      <c r="A143" s="896" t="s">
        <v>266</v>
      </c>
      <c r="B143" s="897" t="s">
        <v>151</v>
      </c>
      <c r="C143" s="1106"/>
      <c r="D143" s="11"/>
      <c r="E143" s="11"/>
      <c r="F143" s="1562" t="str">
        <f t="shared" si="6"/>
        <v>-</v>
      </c>
      <c r="G143" s="866"/>
      <c r="H143" s="867"/>
      <c r="I143" s="868"/>
      <c r="K143" s="4">
        <f t="shared" si="7"/>
        <v>0</v>
      </c>
    </row>
    <row r="144" spans="1:11">
      <c r="A144" s="896" t="s">
        <v>267</v>
      </c>
      <c r="B144" s="897" t="s">
        <v>928</v>
      </c>
      <c r="C144" s="1106"/>
      <c r="D144" s="11"/>
      <c r="E144" s="11"/>
      <c r="F144" s="1562" t="str">
        <f t="shared" si="6"/>
        <v>-</v>
      </c>
      <c r="G144" s="866"/>
      <c r="H144" s="867"/>
      <c r="I144" s="868"/>
      <c r="K144" s="4">
        <f t="shared" si="7"/>
        <v>0</v>
      </c>
    </row>
    <row r="145" spans="1:11">
      <c r="A145" s="896" t="s">
        <v>268</v>
      </c>
      <c r="B145" s="897" t="s">
        <v>929</v>
      </c>
      <c r="C145" s="1106"/>
      <c r="D145" s="11"/>
      <c r="E145" s="11"/>
      <c r="F145" s="1562" t="str">
        <f t="shared" si="6"/>
        <v>-</v>
      </c>
      <c r="G145" s="866"/>
      <c r="H145" s="867"/>
      <c r="I145" s="868"/>
      <c r="K145" s="4">
        <f t="shared" si="7"/>
        <v>0</v>
      </c>
    </row>
    <row r="146" spans="1:11">
      <c r="A146" s="898" t="s">
        <v>924</v>
      </c>
      <c r="B146" s="899" t="s">
        <v>930</v>
      </c>
      <c r="C146" s="1107">
        <f>+C147+C148</f>
        <v>0</v>
      </c>
      <c r="D146" s="22">
        <f>+D147+D148</f>
        <v>0</v>
      </c>
      <c r="E146" s="22">
        <f>+E147+E148</f>
        <v>0</v>
      </c>
      <c r="F146" s="1561" t="str">
        <f t="shared" si="6"/>
        <v>-</v>
      </c>
      <c r="G146" s="869">
        <f>+G147+G148</f>
        <v>0</v>
      </c>
      <c r="H146" s="870">
        <f>+H147+H148</f>
        <v>0</v>
      </c>
      <c r="I146" s="871">
        <f>+I147+I148</f>
        <v>0</v>
      </c>
      <c r="K146" s="4">
        <f t="shared" si="7"/>
        <v>0</v>
      </c>
    </row>
    <row r="147" spans="1:11" s="117" customFormat="1">
      <c r="A147" s="900" t="s">
        <v>925</v>
      </c>
      <c r="B147" s="922" t="s">
        <v>931</v>
      </c>
      <c r="C147" s="1108"/>
      <c r="D147" s="43"/>
      <c r="E147" s="43"/>
      <c r="F147" s="1561" t="str">
        <f t="shared" si="6"/>
        <v>-</v>
      </c>
      <c r="G147" s="902"/>
      <c r="H147" s="903"/>
      <c r="I147" s="904"/>
      <c r="K147" s="13">
        <f t="shared" si="7"/>
        <v>0</v>
      </c>
    </row>
    <row r="148" spans="1:11" s="117" customFormat="1" ht="12.75" thickBot="1">
      <c r="A148" s="900" t="s">
        <v>926</v>
      </c>
      <c r="B148" s="922" t="s">
        <v>932</v>
      </c>
      <c r="C148" s="1108"/>
      <c r="D148" s="43"/>
      <c r="E148" s="43"/>
      <c r="F148" s="1561" t="str">
        <f t="shared" si="6"/>
        <v>-</v>
      </c>
      <c r="G148" s="902"/>
      <c r="H148" s="903"/>
      <c r="I148" s="904"/>
      <c r="K148" s="13">
        <f t="shared" si="7"/>
        <v>0</v>
      </c>
    </row>
    <row r="149" spans="1:11" s="119" customFormat="1" ht="12.75" thickBot="1">
      <c r="A149" s="884" t="s">
        <v>14</v>
      </c>
      <c r="B149" s="905" t="s">
        <v>311</v>
      </c>
      <c r="C149" s="1103">
        <f>+C150+C159+C165</f>
        <v>0</v>
      </c>
      <c r="D149" s="28">
        <f>+D150+D159+D165</f>
        <v>42155</v>
      </c>
      <c r="E149" s="28">
        <f>+E150+E159+E165</f>
        <v>42155</v>
      </c>
      <c r="F149" s="1558">
        <f t="shared" si="6"/>
        <v>1</v>
      </c>
      <c r="G149" s="110">
        <f>+G150+G159+G165</f>
        <v>42155</v>
      </c>
      <c r="H149" s="111">
        <f>+H150+H159+H165</f>
        <v>0</v>
      </c>
      <c r="I149" s="112">
        <f>+I150+I159+I165</f>
        <v>0</v>
      </c>
      <c r="K149" s="3">
        <f t="shared" si="7"/>
        <v>0</v>
      </c>
    </row>
    <row r="150" spans="1:11" s="119" customFormat="1" ht="12.75" thickBot="1">
      <c r="A150" s="884" t="s">
        <v>13</v>
      </c>
      <c r="B150" s="891" t="s">
        <v>312</v>
      </c>
      <c r="C150" s="1103">
        <f>+C152+C153+C154+C155+C156+C157+C158</f>
        <v>0</v>
      </c>
      <c r="D150" s="28">
        <f>+D152+D153+D154+D155+D156+D157+D158</f>
        <v>37646</v>
      </c>
      <c r="E150" s="28">
        <f>+E152+E153+E154+E155+E156+E157+E158</f>
        <v>37646</v>
      </c>
      <c r="F150" s="1558">
        <f t="shared" si="6"/>
        <v>1</v>
      </c>
      <c r="G150" s="110">
        <f>+G152+G153+G154+G155+G156+G157+G158</f>
        <v>37646</v>
      </c>
      <c r="H150" s="111">
        <f>+H152+H153+H154+H155+H156+H157+H158</f>
        <v>0</v>
      </c>
      <c r="I150" s="112">
        <f>+I152+I153+I154+I155+I156+I157+I158</f>
        <v>0</v>
      </c>
      <c r="K150" s="3">
        <f t="shared" si="7"/>
        <v>0</v>
      </c>
    </row>
    <row r="151" spans="1:11" s="876" customFormat="1">
      <c r="A151" s="917" t="s">
        <v>934</v>
      </c>
      <c r="B151" s="918" t="s">
        <v>342</v>
      </c>
      <c r="C151" s="1110"/>
      <c r="D151" s="97"/>
      <c r="E151" s="97"/>
      <c r="F151" s="1559" t="str">
        <f t="shared" si="6"/>
        <v>-</v>
      </c>
      <c r="G151" s="919"/>
      <c r="H151" s="920"/>
      <c r="I151" s="921"/>
      <c r="K151" s="36">
        <f t="shared" si="7"/>
        <v>0</v>
      </c>
    </row>
    <row r="152" spans="1:11">
      <c r="A152" s="892" t="s">
        <v>66</v>
      </c>
      <c r="B152" s="113" t="s">
        <v>152</v>
      </c>
      <c r="C152" s="1104"/>
      <c r="D152" s="10"/>
      <c r="E152" s="10"/>
      <c r="F152" s="1560" t="str">
        <f t="shared" si="6"/>
        <v>-</v>
      </c>
      <c r="G152" s="114"/>
      <c r="H152" s="115"/>
      <c r="I152" s="116"/>
      <c r="K152" s="4">
        <f t="shared" si="7"/>
        <v>0</v>
      </c>
    </row>
    <row r="153" spans="1:11">
      <c r="A153" s="896" t="s">
        <v>67</v>
      </c>
      <c r="B153" s="897" t="s">
        <v>153</v>
      </c>
      <c r="C153" s="1106"/>
      <c r="D153" s="11">
        <v>13968</v>
      </c>
      <c r="E153" s="11">
        <v>13968</v>
      </c>
      <c r="F153" s="1562">
        <f t="shared" si="6"/>
        <v>1</v>
      </c>
      <c r="G153" s="866">
        <v>13968</v>
      </c>
      <c r="H153" s="867"/>
      <c r="I153" s="868"/>
      <c r="K153" s="4">
        <f t="shared" si="7"/>
        <v>0</v>
      </c>
    </row>
    <row r="154" spans="1:11">
      <c r="A154" s="896" t="s">
        <v>68</v>
      </c>
      <c r="B154" s="897" t="s">
        <v>154</v>
      </c>
      <c r="C154" s="1106"/>
      <c r="D154" s="11">
        <v>2883</v>
      </c>
      <c r="E154" s="11">
        <v>2883</v>
      </c>
      <c r="F154" s="1562">
        <f t="shared" si="6"/>
        <v>1</v>
      </c>
      <c r="G154" s="866">
        <v>2883</v>
      </c>
      <c r="H154" s="867"/>
      <c r="I154" s="868"/>
      <c r="K154" s="4">
        <f t="shared" si="7"/>
        <v>0</v>
      </c>
    </row>
    <row r="155" spans="1:11">
      <c r="A155" s="896" t="s">
        <v>230</v>
      </c>
      <c r="B155" s="897" t="s">
        <v>155</v>
      </c>
      <c r="C155" s="1106"/>
      <c r="D155" s="11">
        <v>15555</v>
      </c>
      <c r="E155" s="11">
        <v>15555</v>
      </c>
      <c r="F155" s="1562">
        <f t="shared" si="6"/>
        <v>1</v>
      </c>
      <c r="G155" s="866">
        <v>15555</v>
      </c>
      <c r="H155" s="867"/>
      <c r="I155" s="868"/>
      <c r="K155" s="4">
        <f t="shared" si="7"/>
        <v>0</v>
      </c>
    </row>
    <row r="156" spans="1:11">
      <c r="A156" s="896" t="s">
        <v>231</v>
      </c>
      <c r="B156" s="897" t="s">
        <v>156</v>
      </c>
      <c r="C156" s="1106"/>
      <c r="D156" s="11"/>
      <c r="E156" s="11"/>
      <c r="F156" s="1562" t="str">
        <f t="shared" si="6"/>
        <v>-</v>
      </c>
      <c r="G156" s="866"/>
      <c r="H156" s="867"/>
      <c r="I156" s="868"/>
      <c r="K156" s="4">
        <f t="shared" si="7"/>
        <v>0</v>
      </c>
    </row>
    <row r="157" spans="1:11">
      <c r="A157" s="896" t="s">
        <v>269</v>
      </c>
      <c r="B157" s="897" t="s">
        <v>157</v>
      </c>
      <c r="C157" s="1106"/>
      <c r="D157" s="11"/>
      <c r="E157" s="11"/>
      <c r="F157" s="1562" t="str">
        <f t="shared" si="6"/>
        <v>-</v>
      </c>
      <c r="G157" s="866"/>
      <c r="H157" s="867"/>
      <c r="I157" s="868"/>
      <c r="K157" s="4">
        <f t="shared" si="7"/>
        <v>0</v>
      </c>
    </row>
    <row r="158" spans="1:11" ht="12.75" thickBot="1">
      <c r="A158" s="898" t="s">
        <v>270</v>
      </c>
      <c r="B158" s="899" t="s">
        <v>158</v>
      </c>
      <c r="C158" s="1107"/>
      <c r="D158" s="22">
        <v>5240</v>
      </c>
      <c r="E158" s="22">
        <v>5240</v>
      </c>
      <c r="F158" s="1561">
        <f t="shared" si="6"/>
        <v>1</v>
      </c>
      <c r="G158" s="869">
        <v>5240</v>
      </c>
      <c r="H158" s="870"/>
      <c r="I158" s="871"/>
      <c r="K158" s="4">
        <f t="shared" si="7"/>
        <v>0</v>
      </c>
    </row>
    <row r="159" spans="1:11" s="119" customFormat="1" ht="12.75" thickBot="1">
      <c r="A159" s="884" t="s">
        <v>12</v>
      </c>
      <c r="B159" s="891" t="s">
        <v>313</v>
      </c>
      <c r="C159" s="1103">
        <f>+C161+C162+C163+C164</f>
        <v>0</v>
      </c>
      <c r="D159" s="28">
        <f>+D161+D162+D163+D164</f>
        <v>4509</v>
      </c>
      <c r="E159" s="28">
        <f>+E161+E162+E163+E164</f>
        <v>4509</v>
      </c>
      <c r="F159" s="1558">
        <f t="shared" si="6"/>
        <v>1</v>
      </c>
      <c r="G159" s="110">
        <f>+G161+G162+G163+G164</f>
        <v>4509</v>
      </c>
      <c r="H159" s="111">
        <f>+H161+H162+H163+H164</f>
        <v>0</v>
      </c>
      <c r="I159" s="112">
        <f>+I161+I162+I163+I164</f>
        <v>0</v>
      </c>
      <c r="K159" s="3">
        <f t="shared" si="7"/>
        <v>0</v>
      </c>
    </row>
    <row r="160" spans="1:11" s="876" customFormat="1">
      <c r="A160" s="917" t="s">
        <v>344</v>
      </c>
      <c r="B160" s="918" t="s">
        <v>345</v>
      </c>
      <c r="C160" s="1110"/>
      <c r="D160" s="97"/>
      <c r="E160" s="97"/>
      <c r="F160" s="1559" t="str">
        <f t="shared" si="6"/>
        <v>-</v>
      </c>
      <c r="G160" s="919"/>
      <c r="H160" s="920"/>
      <c r="I160" s="921"/>
      <c r="K160" s="36">
        <f t="shared" si="7"/>
        <v>0</v>
      </c>
    </row>
    <row r="161" spans="1:11">
      <c r="A161" s="892" t="s">
        <v>69</v>
      </c>
      <c r="B161" s="113" t="s">
        <v>159</v>
      </c>
      <c r="C161" s="1104"/>
      <c r="D161" s="10">
        <v>3550</v>
      </c>
      <c r="E161" s="10">
        <v>3550</v>
      </c>
      <c r="F161" s="1560">
        <f t="shared" si="6"/>
        <v>1</v>
      </c>
      <c r="G161" s="114">
        <v>3550</v>
      </c>
      <c r="H161" s="115"/>
      <c r="I161" s="116"/>
      <c r="K161" s="4">
        <f t="shared" si="7"/>
        <v>0</v>
      </c>
    </row>
    <row r="162" spans="1:11">
      <c r="A162" s="896" t="s">
        <v>70</v>
      </c>
      <c r="B162" s="897" t="s">
        <v>160</v>
      </c>
      <c r="C162" s="1106"/>
      <c r="D162" s="11"/>
      <c r="E162" s="11"/>
      <c r="F162" s="1562" t="str">
        <f t="shared" si="6"/>
        <v>-</v>
      </c>
      <c r="G162" s="866"/>
      <c r="H162" s="867"/>
      <c r="I162" s="868"/>
      <c r="K162" s="4">
        <f t="shared" si="7"/>
        <v>0</v>
      </c>
    </row>
    <row r="163" spans="1:11">
      <c r="A163" s="896" t="s">
        <v>71</v>
      </c>
      <c r="B163" s="897" t="s">
        <v>161</v>
      </c>
      <c r="C163" s="1106"/>
      <c r="D163" s="11"/>
      <c r="E163" s="11"/>
      <c r="F163" s="1562" t="str">
        <f t="shared" si="6"/>
        <v>-</v>
      </c>
      <c r="G163" s="866"/>
      <c r="H163" s="867"/>
      <c r="I163" s="868"/>
      <c r="K163" s="4">
        <f t="shared" si="7"/>
        <v>0</v>
      </c>
    </row>
    <row r="164" spans="1:11" ht="12.75" thickBot="1">
      <c r="A164" s="898" t="s">
        <v>72</v>
      </c>
      <c r="B164" s="899" t="s">
        <v>162</v>
      </c>
      <c r="C164" s="1107"/>
      <c r="D164" s="22">
        <v>959</v>
      </c>
      <c r="E164" s="22">
        <v>959</v>
      </c>
      <c r="F164" s="1561">
        <f t="shared" si="6"/>
        <v>1</v>
      </c>
      <c r="G164" s="869">
        <v>959</v>
      </c>
      <c r="H164" s="870"/>
      <c r="I164" s="871"/>
      <c r="K164" s="4">
        <f t="shared" si="7"/>
        <v>0</v>
      </c>
    </row>
    <row r="165" spans="1:11" s="119" customFormat="1" ht="12.75" thickBot="1">
      <c r="A165" s="884" t="s">
        <v>11</v>
      </c>
      <c r="B165" s="891" t="s">
        <v>936</v>
      </c>
      <c r="C165" s="1103">
        <f>+C166+C167+C168+C169+C171+C172+C173+C174+C175</f>
        <v>0</v>
      </c>
      <c r="D165" s="28">
        <f>+D166+D167+D168+D169+D171+D172+D173+D174+D175</f>
        <v>0</v>
      </c>
      <c r="E165" s="28">
        <f>+E166+E167+E168+E169+E171+E172+E173+E174+E175</f>
        <v>0</v>
      </c>
      <c r="F165" s="1558" t="str">
        <f t="shared" si="6"/>
        <v>-</v>
      </c>
      <c r="G165" s="110">
        <f>+G166+G167+G168+G169+G171+G172+G173+G174+G175</f>
        <v>0</v>
      </c>
      <c r="H165" s="111">
        <f>+H166+H167+H168+H169+H171+H172+H173+H174+H175</f>
        <v>0</v>
      </c>
      <c r="I165" s="112">
        <f>+I166+I167+I168+I169+I171+I172+I173+I174+I175</f>
        <v>0</v>
      </c>
      <c r="K165" s="3">
        <f t="shared" si="7"/>
        <v>0</v>
      </c>
    </row>
    <row r="166" spans="1:11">
      <c r="A166" s="892" t="s">
        <v>271</v>
      </c>
      <c r="B166" s="113" t="s">
        <v>163</v>
      </c>
      <c r="C166" s="1104"/>
      <c r="D166" s="10"/>
      <c r="E166" s="10"/>
      <c r="F166" s="1560" t="str">
        <f t="shared" si="6"/>
        <v>-</v>
      </c>
      <c r="G166" s="114"/>
      <c r="H166" s="115"/>
      <c r="I166" s="116"/>
      <c r="K166" s="4">
        <f t="shared" si="7"/>
        <v>0</v>
      </c>
    </row>
    <row r="167" spans="1:11">
      <c r="A167" s="896" t="s">
        <v>272</v>
      </c>
      <c r="B167" s="897" t="s">
        <v>164</v>
      </c>
      <c r="C167" s="1106"/>
      <c r="D167" s="11"/>
      <c r="E167" s="11"/>
      <c r="F167" s="1562" t="str">
        <f t="shared" si="6"/>
        <v>-</v>
      </c>
      <c r="G167" s="866"/>
      <c r="H167" s="867"/>
      <c r="I167" s="868"/>
      <c r="K167" s="4">
        <f t="shared" si="7"/>
        <v>0</v>
      </c>
    </row>
    <row r="168" spans="1:11">
      <c r="A168" s="896" t="s">
        <v>273</v>
      </c>
      <c r="B168" s="897" t="s">
        <v>165</v>
      </c>
      <c r="C168" s="1106"/>
      <c r="D168" s="11"/>
      <c r="E168" s="11"/>
      <c r="F168" s="1562" t="str">
        <f t="shared" si="6"/>
        <v>-</v>
      </c>
      <c r="G168" s="866"/>
      <c r="H168" s="867"/>
      <c r="I168" s="868"/>
      <c r="K168" s="4">
        <f t="shared" si="7"/>
        <v>0</v>
      </c>
    </row>
    <row r="169" spans="1:11">
      <c r="A169" s="896" t="s">
        <v>274</v>
      </c>
      <c r="B169" s="897" t="s">
        <v>166</v>
      </c>
      <c r="C169" s="1106"/>
      <c r="D169" s="11"/>
      <c r="E169" s="11"/>
      <c r="F169" s="1562" t="str">
        <f t="shared" si="6"/>
        <v>-</v>
      </c>
      <c r="G169" s="866"/>
      <c r="H169" s="867"/>
      <c r="I169" s="868"/>
      <c r="K169" s="4">
        <f t="shared" si="7"/>
        <v>0</v>
      </c>
    </row>
    <row r="170" spans="1:11" s="117" customFormat="1">
      <c r="A170" s="900" t="s">
        <v>339</v>
      </c>
      <c r="B170" s="901" t="s">
        <v>340</v>
      </c>
      <c r="C170" s="1108"/>
      <c r="D170" s="43"/>
      <c r="E170" s="43"/>
      <c r="F170" s="1561" t="str">
        <f t="shared" si="6"/>
        <v>-</v>
      </c>
      <c r="G170" s="902"/>
      <c r="H170" s="903"/>
      <c r="I170" s="904"/>
      <c r="K170" s="13">
        <f t="shared" si="7"/>
        <v>0</v>
      </c>
    </row>
    <row r="171" spans="1:11">
      <c r="A171" s="896" t="s">
        <v>275</v>
      </c>
      <c r="B171" s="897" t="s">
        <v>167</v>
      </c>
      <c r="C171" s="1106"/>
      <c r="D171" s="11"/>
      <c r="E171" s="11"/>
      <c r="F171" s="1562" t="str">
        <f t="shared" si="6"/>
        <v>-</v>
      </c>
      <c r="G171" s="866"/>
      <c r="H171" s="867"/>
      <c r="I171" s="868"/>
      <c r="K171" s="4">
        <f t="shared" si="7"/>
        <v>0</v>
      </c>
    </row>
    <row r="172" spans="1:11">
      <c r="A172" s="896" t="s">
        <v>276</v>
      </c>
      <c r="B172" s="897" t="s">
        <v>168</v>
      </c>
      <c r="C172" s="1106"/>
      <c r="D172" s="11"/>
      <c r="E172" s="11"/>
      <c r="F172" s="1562" t="str">
        <f t="shared" si="6"/>
        <v>-</v>
      </c>
      <c r="G172" s="866"/>
      <c r="H172" s="867"/>
      <c r="I172" s="868"/>
      <c r="K172" s="4">
        <f t="shared" si="7"/>
        <v>0</v>
      </c>
    </row>
    <row r="173" spans="1:11">
      <c r="A173" s="896" t="s">
        <v>277</v>
      </c>
      <c r="B173" s="897" t="s">
        <v>169</v>
      </c>
      <c r="C173" s="1106"/>
      <c r="D173" s="11"/>
      <c r="E173" s="11"/>
      <c r="F173" s="1562" t="str">
        <f t="shared" ref="F173:F208" si="8">IF(ISERROR(E173/D173),"-",E173/D173)</f>
        <v>-</v>
      </c>
      <c r="G173" s="866"/>
      <c r="H173" s="867"/>
      <c r="I173" s="868"/>
      <c r="K173" s="4">
        <f t="shared" ref="K173:K208" si="9">+E173-G173-H173-I173</f>
        <v>0</v>
      </c>
    </row>
    <row r="174" spans="1:11">
      <c r="A174" s="896" t="s">
        <v>278</v>
      </c>
      <c r="B174" s="897" t="s">
        <v>937</v>
      </c>
      <c r="C174" s="1106"/>
      <c r="D174" s="11"/>
      <c r="E174" s="11"/>
      <c r="F174" s="1562" t="str">
        <f t="shared" si="8"/>
        <v>-</v>
      </c>
      <c r="G174" s="866"/>
      <c r="H174" s="867"/>
      <c r="I174" s="868"/>
      <c r="K174" s="4">
        <f t="shared" si="9"/>
        <v>0</v>
      </c>
    </row>
    <row r="175" spans="1:11" ht="12.75" thickBot="1">
      <c r="A175" s="898" t="s">
        <v>935</v>
      </c>
      <c r="B175" s="899" t="s">
        <v>938</v>
      </c>
      <c r="C175" s="1107"/>
      <c r="D175" s="22"/>
      <c r="E175" s="22"/>
      <c r="F175" s="1561" t="str">
        <f t="shared" si="8"/>
        <v>-</v>
      </c>
      <c r="G175" s="869"/>
      <c r="H175" s="870"/>
      <c r="I175" s="871"/>
      <c r="K175" s="4">
        <f t="shared" si="9"/>
        <v>0</v>
      </c>
    </row>
    <row r="176" spans="1:11" s="119" customFormat="1" ht="12.75" thickBot="1">
      <c r="A176" s="884" t="s">
        <v>10</v>
      </c>
      <c r="B176" s="905" t="s">
        <v>314</v>
      </c>
      <c r="C176" s="1103">
        <f>+C109+C149</f>
        <v>73861</v>
      </c>
      <c r="D176" s="28">
        <f>+D109+D149</f>
        <v>118258</v>
      </c>
      <c r="E176" s="28">
        <f>+E109+E149</f>
        <v>118182</v>
      </c>
      <c r="F176" s="1558">
        <f t="shared" si="8"/>
        <v>0.99935733734715626</v>
      </c>
      <c r="G176" s="110">
        <f>+G109+G149</f>
        <v>118182</v>
      </c>
      <c r="H176" s="111">
        <f>+H109+H149</f>
        <v>0</v>
      </c>
      <c r="I176" s="112">
        <f>+I109+I149</f>
        <v>0</v>
      </c>
      <c r="K176" s="3">
        <f t="shared" si="9"/>
        <v>0</v>
      </c>
    </row>
    <row r="177" spans="1:11" s="119" customFormat="1" ht="12.75" thickBot="1">
      <c r="A177" s="884" t="s">
        <v>9</v>
      </c>
      <c r="B177" s="906" t="s">
        <v>315</v>
      </c>
      <c r="C177" s="1103">
        <f>+C178</f>
        <v>0</v>
      </c>
      <c r="D177" s="28">
        <f>+D178</f>
        <v>0</v>
      </c>
      <c r="E177" s="28">
        <f>+E178</f>
        <v>0</v>
      </c>
      <c r="F177" s="1558" t="str">
        <f t="shared" si="8"/>
        <v>-</v>
      </c>
      <c r="G177" s="110">
        <f>+G178</f>
        <v>0</v>
      </c>
      <c r="H177" s="111">
        <f>+H178</f>
        <v>0</v>
      </c>
      <c r="I177" s="112">
        <f>+I178</f>
        <v>0</v>
      </c>
      <c r="K177" s="3">
        <f t="shared" si="9"/>
        <v>0</v>
      </c>
    </row>
    <row r="178" spans="1:11" s="119" customFormat="1" ht="12.75" thickBot="1">
      <c r="A178" s="884" t="s">
        <v>45</v>
      </c>
      <c r="B178" s="891" t="s">
        <v>945</v>
      </c>
      <c r="C178" s="1103">
        <f>+C179+C189+C190+C191</f>
        <v>0</v>
      </c>
      <c r="D178" s="28">
        <f>+D179+D189+D190+D191</f>
        <v>0</v>
      </c>
      <c r="E178" s="28">
        <f>+E179+E189+E190+E191</f>
        <v>0</v>
      </c>
      <c r="F178" s="1558" t="str">
        <f t="shared" si="8"/>
        <v>-</v>
      </c>
      <c r="G178" s="110">
        <f>+G179+G189+G190+G191</f>
        <v>0</v>
      </c>
      <c r="H178" s="111">
        <f>+H179+H189+H190+H191</f>
        <v>0</v>
      </c>
      <c r="I178" s="112">
        <f>+I179+I189+I190+I191</f>
        <v>0</v>
      </c>
      <c r="K178" s="3">
        <f t="shared" si="9"/>
        <v>0</v>
      </c>
    </row>
    <row r="179" spans="1:11">
      <c r="A179" s="892" t="s">
        <v>75</v>
      </c>
      <c r="B179" s="113" t="s">
        <v>946</v>
      </c>
      <c r="C179" s="1104">
        <f>+C180+C181+C182+C183+C184+C185+C186+C187+C188</f>
        <v>0</v>
      </c>
      <c r="D179" s="10">
        <f>+D180+D181+D182+D183+D184+D185+D186+D187+D188</f>
        <v>0</v>
      </c>
      <c r="E179" s="10">
        <f>+E180+E181+E182+E183+E184+E185+E186+E187+E188</f>
        <v>0</v>
      </c>
      <c r="F179" s="1560" t="str">
        <f t="shared" si="8"/>
        <v>-</v>
      </c>
      <c r="G179" s="114">
        <f>+G180+G181+G182+G183+G184+G185+G186+G187+G188</f>
        <v>0</v>
      </c>
      <c r="H179" s="115">
        <f>+H180+H181+H182+H183+H184+H185+H186+H187+H188</f>
        <v>0</v>
      </c>
      <c r="I179" s="116">
        <f>+I180+I181+I182+I183+I184+I185+I186+I187+I188</f>
        <v>0</v>
      </c>
      <c r="K179" s="4">
        <f t="shared" si="9"/>
        <v>0</v>
      </c>
    </row>
    <row r="180" spans="1:11" s="117" customFormat="1">
      <c r="A180" s="108" t="s">
        <v>205</v>
      </c>
      <c r="B180" s="109" t="s">
        <v>170</v>
      </c>
      <c r="C180" s="1105"/>
      <c r="D180" s="12"/>
      <c r="E180" s="12"/>
      <c r="F180" s="1562" t="str">
        <f t="shared" si="8"/>
        <v>-</v>
      </c>
      <c r="G180" s="656"/>
      <c r="H180" s="657"/>
      <c r="I180" s="658"/>
      <c r="K180" s="13">
        <f t="shared" si="9"/>
        <v>0</v>
      </c>
    </row>
    <row r="181" spans="1:11" s="117" customFormat="1">
      <c r="A181" s="108" t="s">
        <v>206</v>
      </c>
      <c r="B181" s="109" t="s">
        <v>171</v>
      </c>
      <c r="C181" s="1105"/>
      <c r="D181" s="12"/>
      <c r="E181" s="12"/>
      <c r="F181" s="1562" t="str">
        <f t="shared" si="8"/>
        <v>-</v>
      </c>
      <c r="G181" s="656"/>
      <c r="H181" s="657"/>
      <c r="I181" s="658"/>
      <c r="K181" s="13">
        <f t="shared" si="9"/>
        <v>0</v>
      </c>
    </row>
    <row r="182" spans="1:11" s="117" customFormat="1">
      <c r="A182" s="108" t="s">
        <v>207</v>
      </c>
      <c r="B182" s="109" t="s">
        <v>172</v>
      </c>
      <c r="C182" s="1105"/>
      <c r="D182" s="12"/>
      <c r="E182" s="12"/>
      <c r="F182" s="1562" t="str">
        <f t="shared" si="8"/>
        <v>-</v>
      </c>
      <c r="G182" s="656"/>
      <c r="H182" s="657"/>
      <c r="I182" s="658"/>
      <c r="K182" s="13">
        <f t="shared" si="9"/>
        <v>0</v>
      </c>
    </row>
    <row r="183" spans="1:11" s="117" customFormat="1">
      <c r="A183" s="108" t="s">
        <v>208</v>
      </c>
      <c r="B183" s="109" t="s">
        <v>173</v>
      </c>
      <c r="C183" s="1105"/>
      <c r="D183" s="12"/>
      <c r="E183" s="12"/>
      <c r="F183" s="1562" t="str">
        <f t="shared" si="8"/>
        <v>-</v>
      </c>
      <c r="G183" s="656"/>
      <c r="H183" s="657"/>
      <c r="I183" s="658"/>
      <c r="K183" s="13">
        <f t="shared" si="9"/>
        <v>0</v>
      </c>
    </row>
    <row r="184" spans="1:11" s="117" customFormat="1">
      <c r="A184" s="108" t="s">
        <v>209</v>
      </c>
      <c r="B184" s="109" t="s">
        <v>174</v>
      </c>
      <c r="C184" s="1105"/>
      <c r="D184" s="12"/>
      <c r="E184" s="12"/>
      <c r="F184" s="1569" t="str">
        <f t="shared" si="8"/>
        <v>-</v>
      </c>
      <c r="G184" s="656"/>
      <c r="H184" s="657"/>
      <c r="I184" s="658"/>
      <c r="K184" s="117">
        <f t="shared" si="9"/>
        <v>0</v>
      </c>
    </row>
    <row r="185" spans="1:11" s="117" customFormat="1">
      <c r="A185" s="108" t="s">
        <v>210</v>
      </c>
      <c r="B185" s="109" t="s">
        <v>179</v>
      </c>
      <c r="C185" s="1105"/>
      <c r="D185" s="12"/>
      <c r="E185" s="12"/>
      <c r="F185" s="1562" t="str">
        <f t="shared" si="8"/>
        <v>-</v>
      </c>
      <c r="G185" s="656"/>
      <c r="H185" s="657"/>
      <c r="I185" s="658"/>
      <c r="K185" s="13">
        <f t="shared" si="9"/>
        <v>0</v>
      </c>
    </row>
    <row r="186" spans="1:11" s="117" customFormat="1">
      <c r="A186" s="108" t="s">
        <v>211</v>
      </c>
      <c r="B186" s="109" t="s">
        <v>175</v>
      </c>
      <c r="C186" s="1105"/>
      <c r="D186" s="12"/>
      <c r="E186" s="12"/>
      <c r="F186" s="1562" t="str">
        <f t="shared" si="8"/>
        <v>-</v>
      </c>
      <c r="G186" s="656"/>
      <c r="H186" s="657"/>
      <c r="I186" s="658"/>
      <c r="K186" s="13">
        <f t="shared" si="9"/>
        <v>0</v>
      </c>
    </row>
    <row r="187" spans="1:11" s="117" customFormat="1">
      <c r="A187" s="108" t="s">
        <v>212</v>
      </c>
      <c r="B187" s="109" t="s">
        <v>176</v>
      </c>
      <c r="C187" s="1105"/>
      <c r="D187" s="12"/>
      <c r="E187" s="12"/>
      <c r="F187" s="1562" t="str">
        <f t="shared" si="8"/>
        <v>-</v>
      </c>
      <c r="G187" s="656"/>
      <c r="H187" s="657"/>
      <c r="I187" s="658"/>
      <c r="K187" s="13">
        <f t="shared" si="9"/>
        <v>0</v>
      </c>
    </row>
    <row r="188" spans="1:11" s="117" customFormat="1">
      <c r="A188" s="108" t="s">
        <v>939</v>
      </c>
      <c r="B188" s="109" t="s">
        <v>941</v>
      </c>
      <c r="C188" s="1105"/>
      <c r="D188" s="12"/>
      <c r="E188" s="12"/>
      <c r="F188" s="1562" t="str">
        <f t="shared" si="8"/>
        <v>-</v>
      </c>
      <c r="G188" s="656"/>
      <c r="H188" s="657"/>
      <c r="I188" s="658"/>
      <c r="K188" s="13">
        <f t="shared" si="9"/>
        <v>0</v>
      </c>
    </row>
    <row r="189" spans="1:11">
      <c r="A189" s="896" t="s">
        <v>76</v>
      </c>
      <c r="B189" s="897" t="s">
        <v>177</v>
      </c>
      <c r="C189" s="1106"/>
      <c r="D189" s="11"/>
      <c r="E189" s="11"/>
      <c r="F189" s="1562" t="str">
        <f t="shared" si="8"/>
        <v>-</v>
      </c>
      <c r="G189" s="866"/>
      <c r="H189" s="867"/>
      <c r="I189" s="868"/>
      <c r="K189" s="4">
        <f t="shared" si="9"/>
        <v>0</v>
      </c>
    </row>
    <row r="190" spans="1:11">
      <c r="A190" s="898" t="s">
        <v>77</v>
      </c>
      <c r="B190" s="899" t="s">
        <v>178</v>
      </c>
      <c r="C190" s="1107"/>
      <c r="D190" s="22"/>
      <c r="E190" s="22"/>
      <c r="F190" s="1561" t="str">
        <f t="shared" si="8"/>
        <v>-</v>
      </c>
      <c r="G190" s="869"/>
      <c r="H190" s="870"/>
      <c r="I190" s="871"/>
      <c r="K190" s="4">
        <f t="shared" si="9"/>
        <v>0</v>
      </c>
    </row>
    <row r="191" spans="1:11" ht="12.75" thickBot="1">
      <c r="A191" s="898" t="s">
        <v>944</v>
      </c>
      <c r="B191" s="899" t="s">
        <v>942</v>
      </c>
      <c r="C191" s="1107"/>
      <c r="D191" s="22"/>
      <c r="E191" s="22"/>
      <c r="F191" s="1561" t="str">
        <f t="shared" si="8"/>
        <v>-</v>
      </c>
      <c r="G191" s="869"/>
      <c r="H191" s="870"/>
      <c r="I191" s="871"/>
      <c r="K191" s="4">
        <f t="shared" si="9"/>
        <v>0</v>
      </c>
    </row>
    <row r="192" spans="1:11" s="119" customFormat="1" ht="12.75" thickBot="1">
      <c r="A192" s="884" t="s">
        <v>44</v>
      </c>
      <c r="B192" s="905" t="s">
        <v>316</v>
      </c>
      <c r="C192" s="1103">
        <f>+C193</f>
        <v>0</v>
      </c>
      <c r="D192" s="28">
        <f>+D193</f>
        <v>0</v>
      </c>
      <c r="E192" s="28">
        <f>+E193</f>
        <v>0</v>
      </c>
      <c r="F192" s="1558" t="str">
        <f t="shared" si="8"/>
        <v>-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9"/>
        <v>0</v>
      </c>
    </row>
    <row r="193" spans="1:11" s="119" customFormat="1" ht="12.75" thickBot="1">
      <c r="A193" s="884" t="s">
        <v>43</v>
      </c>
      <c r="B193" s="891" t="s">
        <v>940</v>
      </c>
      <c r="C193" s="1103">
        <f>+C194+C204+C205+C206</f>
        <v>0</v>
      </c>
      <c r="D193" s="28">
        <f>+D194+D204+D205+D206</f>
        <v>0</v>
      </c>
      <c r="E193" s="28">
        <f>+E194+E204+E205+E206</f>
        <v>0</v>
      </c>
      <c r="F193" s="1558" t="str">
        <f t="shared" si="8"/>
        <v>-</v>
      </c>
      <c r="G193" s="110">
        <f>+G194+G204+G205+G206</f>
        <v>0</v>
      </c>
      <c r="H193" s="111">
        <f>+H194+H204+H205+H206</f>
        <v>0</v>
      </c>
      <c r="I193" s="112">
        <f>+I194+I204+I205+I206</f>
        <v>0</v>
      </c>
      <c r="K193" s="3">
        <f t="shared" si="9"/>
        <v>0</v>
      </c>
    </row>
    <row r="194" spans="1:11">
      <c r="A194" s="892" t="s">
        <v>78</v>
      </c>
      <c r="B194" s="113" t="s">
        <v>978</v>
      </c>
      <c r="C194" s="1104">
        <f>+C195+C196+C197+C198+C199+C200+C201+C202+C203</f>
        <v>0</v>
      </c>
      <c r="D194" s="10">
        <f>+D195+D196+D197+D198+D199+D200+D201+D202+D203</f>
        <v>0</v>
      </c>
      <c r="E194" s="10">
        <f>+E195+E196+E197+E198+E199+E200+E201+E202+E203</f>
        <v>0</v>
      </c>
      <c r="F194" s="1560" t="str">
        <f t="shared" si="8"/>
        <v>-</v>
      </c>
      <c r="G194" s="114">
        <f>+G195+G196+G197+G198+G199+G200+G201+G202+G203</f>
        <v>0</v>
      </c>
      <c r="H194" s="115">
        <f>+H195+H196+H197+H198+H199+H200+H201+H202+H203</f>
        <v>0</v>
      </c>
      <c r="I194" s="116">
        <f>+I195+I196+I197+I198+I199+I200+I201+I202+I203</f>
        <v>0</v>
      </c>
      <c r="K194" s="4">
        <f t="shared" si="9"/>
        <v>0</v>
      </c>
    </row>
    <row r="195" spans="1:11" s="117" customFormat="1">
      <c r="A195" s="108" t="s">
        <v>213</v>
      </c>
      <c r="B195" s="109" t="s">
        <v>170</v>
      </c>
      <c r="C195" s="1105"/>
      <c r="D195" s="12"/>
      <c r="E195" s="12"/>
      <c r="F195" s="1562" t="str">
        <f t="shared" si="8"/>
        <v>-</v>
      </c>
      <c r="G195" s="656"/>
      <c r="H195" s="657"/>
      <c r="I195" s="658"/>
      <c r="K195" s="13">
        <f t="shared" si="9"/>
        <v>0</v>
      </c>
    </row>
    <row r="196" spans="1:11" s="117" customFormat="1">
      <c r="A196" s="108" t="s">
        <v>214</v>
      </c>
      <c r="B196" s="109" t="s">
        <v>171</v>
      </c>
      <c r="C196" s="1105"/>
      <c r="D196" s="12"/>
      <c r="E196" s="12"/>
      <c r="F196" s="1562" t="str">
        <f t="shared" si="8"/>
        <v>-</v>
      </c>
      <c r="G196" s="656"/>
      <c r="H196" s="657"/>
      <c r="I196" s="658"/>
      <c r="K196" s="13">
        <f t="shared" si="9"/>
        <v>0</v>
      </c>
    </row>
    <row r="197" spans="1:11" s="117" customFormat="1">
      <c r="A197" s="108" t="s">
        <v>215</v>
      </c>
      <c r="B197" s="109" t="s">
        <v>172</v>
      </c>
      <c r="C197" s="1105"/>
      <c r="D197" s="12"/>
      <c r="E197" s="12"/>
      <c r="F197" s="1562" t="str">
        <f t="shared" si="8"/>
        <v>-</v>
      </c>
      <c r="G197" s="656"/>
      <c r="H197" s="657"/>
      <c r="I197" s="658"/>
      <c r="K197" s="13">
        <f t="shared" si="9"/>
        <v>0</v>
      </c>
    </row>
    <row r="198" spans="1:11" s="117" customFormat="1">
      <c r="A198" s="108" t="s">
        <v>216</v>
      </c>
      <c r="B198" s="109" t="s">
        <v>173</v>
      </c>
      <c r="C198" s="1105"/>
      <c r="D198" s="12"/>
      <c r="E198" s="12"/>
      <c r="F198" s="1562" t="str">
        <f t="shared" si="8"/>
        <v>-</v>
      </c>
      <c r="G198" s="656"/>
      <c r="H198" s="657"/>
      <c r="I198" s="658"/>
      <c r="K198" s="13">
        <f t="shared" si="9"/>
        <v>0</v>
      </c>
    </row>
    <row r="199" spans="1:11" s="117" customFormat="1">
      <c r="A199" s="108" t="s">
        <v>217</v>
      </c>
      <c r="B199" s="109" t="s">
        <v>174</v>
      </c>
      <c r="C199" s="1105"/>
      <c r="D199" s="12"/>
      <c r="E199" s="12"/>
      <c r="F199" s="1569" t="str">
        <f t="shared" si="8"/>
        <v>-</v>
      </c>
      <c r="G199" s="656"/>
      <c r="H199" s="657"/>
      <c r="I199" s="658"/>
      <c r="K199" s="117">
        <f t="shared" si="9"/>
        <v>0</v>
      </c>
    </row>
    <row r="200" spans="1:11" s="117" customFormat="1">
      <c r="A200" s="108" t="s">
        <v>218</v>
      </c>
      <c r="B200" s="109" t="s">
        <v>179</v>
      </c>
      <c r="C200" s="1105"/>
      <c r="D200" s="12"/>
      <c r="E200" s="12"/>
      <c r="F200" s="1562" t="str">
        <f t="shared" si="8"/>
        <v>-</v>
      </c>
      <c r="G200" s="656"/>
      <c r="H200" s="657"/>
      <c r="I200" s="658"/>
      <c r="K200" s="13">
        <f t="shared" si="9"/>
        <v>0</v>
      </c>
    </row>
    <row r="201" spans="1:11" s="117" customFormat="1">
      <c r="A201" s="108" t="s">
        <v>219</v>
      </c>
      <c r="B201" s="109" t="s">
        <v>175</v>
      </c>
      <c r="C201" s="1105"/>
      <c r="D201" s="12"/>
      <c r="E201" s="12"/>
      <c r="F201" s="1562" t="str">
        <f t="shared" si="8"/>
        <v>-</v>
      </c>
      <c r="G201" s="656"/>
      <c r="H201" s="657"/>
      <c r="I201" s="658"/>
      <c r="K201" s="13">
        <f t="shared" si="9"/>
        <v>0</v>
      </c>
    </row>
    <row r="202" spans="1:11" s="117" customFormat="1">
      <c r="A202" s="108" t="s">
        <v>220</v>
      </c>
      <c r="B202" s="109" t="s">
        <v>176</v>
      </c>
      <c r="C202" s="1105"/>
      <c r="D202" s="12"/>
      <c r="E202" s="12"/>
      <c r="F202" s="1562" t="str">
        <f t="shared" si="8"/>
        <v>-</v>
      </c>
      <c r="G202" s="656"/>
      <c r="H202" s="657"/>
      <c r="I202" s="658"/>
      <c r="K202" s="13">
        <f t="shared" si="9"/>
        <v>0</v>
      </c>
    </row>
    <row r="203" spans="1:11" s="117" customFormat="1">
      <c r="A203" s="108" t="s">
        <v>939</v>
      </c>
      <c r="B203" s="109" t="s">
        <v>941</v>
      </c>
      <c r="C203" s="1105"/>
      <c r="D203" s="12"/>
      <c r="E203" s="12"/>
      <c r="F203" s="1562" t="str">
        <f t="shared" si="8"/>
        <v>-</v>
      </c>
      <c r="G203" s="656"/>
      <c r="H203" s="657"/>
      <c r="I203" s="658"/>
      <c r="K203" s="13">
        <f t="shared" si="9"/>
        <v>0</v>
      </c>
    </row>
    <row r="204" spans="1:11">
      <c r="A204" s="896" t="s">
        <v>79</v>
      </c>
      <c r="B204" s="897" t="s">
        <v>177</v>
      </c>
      <c r="C204" s="1106"/>
      <c r="D204" s="11"/>
      <c r="E204" s="11"/>
      <c r="F204" s="1562" t="str">
        <f t="shared" si="8"/>
        <v>-</v>
      </c>
      <c r="G204" s="866"/>
      <c r="H204" s="867"/>
      <c r="I204" s="868"/>
      <c r="K204" s="4">
        <f t="shared" si="9"/>
        <v>0</v>
      </c>
    </row>
    <row r="205" spans="1:11">
      <c r="A205" s="898" t="s">
        <v>221</v>
      </c>
      <c r="B205" s="899" t="s">
        <v>178</v>
      </c>
      <c r="C205" s="1107"/>
      <c r="D205" s="22"/>
      <c r="E205" s="22"/>
      <c r="F205" s="1561" t="str">
        <f t="shared" si="8"/>
        <v>-</v>
      </c>
      <c r="G205" s="869"/>
      <c r="H205" s="870"/>
      <c r="I205" s="871"/>
      <c r="K205" s="4">
        <f t="shared" si="9"/>
        <v>0</v>
      </c>
    </row>
    <row r="206" spans="1:11" ht="12.75" thickBot="1">
      <c r="A206" s="898" t="s">
        <v>943</v>
      </c>
      <c r="B206" s="899" t="s">
        <v>942</v>
      </c>
      <c r="C206" s="1107"/>
      <c r="D206" s="22"/>
      <c r="E206" s="22"/>
      <c r="F206" s="1561" t="str">
        <f t="shared" si="8"/>
        <v>-</v>
      </c>
      <c r="G206" s="869"/>
      <c r="H206" s="870"/>
      <c r="I206" s="871"/>
      <c r="K206" s="4">
        <f t="shared" si="9"/>
        <v>0</v>
      </c>
    </row>
    <row r="207" spans="1:11" s="119" customFormat="1" ht="12.75" thickBot="1">
      <c r="A207" s="884" t="s">
        <v>40</v>
      </c>
      <c r="B207" s="905" t="s">
        <v>317</v>
      </c>
      <c r="C207" s="1103">
        <f>+C177+C192</f>
        <v>0</v>
      </c>
      <c r="D207" s="28">
        <f>+D177+D192</f>
        <v>0</v>
      </c>
      <c r="E207" s="28">
        <f>+E177+E192</f>
        <v>0</v>
      </c>
      <c r="F207" s="1558" t="str">
        <f t="shared" si="8"/>
        <v>-</v>
      </c>
      <c r="G207" s="110">
        <f>+G177+G192</f>
        <v>0</v>
      </c>
      <c r="H207" s="111">
        <f>+H177+H192</f>
        <v>0</v>
      </c>
      <c r="I207" s="112">
        <f>+I177+I192</f>
        <v>0</v>
      </c>
      <c r="K207" s="3">
        <f t="shared" si="9"/>
        <v>0</v>
      </c>
    </row>
    <row r="208" spans="1:11" s="119" customFormat="1" ht="12.75" thickBot="1">
      <c r="A208" s="907" t="s">
        <v>39</v>
      </c>
      <c r="B208" s="908" t="s">
        <v>335</v>
      </c>
      <c r="C208" s="1109">
        <f>+C176+C207</f>
        <v>73861</v>
      </c>
      <c r="D208" s="25">
        <f>+D176+D207</f>
        <v>118258</v>
      </c>
      <c r="E208" s="25">
        <f>+E176+E207</f>
        <v>118182</v>
      </c>
      <c r="F208" s="1564">
        <f t="shared" si="8"/>
        <v>0.99935733734715626</v>
      </c>
      <c r="G208" s="909">
        <f>+G176+G207</f>
        <v>118182</v>
      </c>
      <c r="H208" s="910">
        <f>+H176+H207</f>
        <v>0</v>
      </c>
      <c r="I208" s="911">
        <f>+I176+I207</f>
        <v>0</v>
      </c>
      <c r="K208" s="3">
        <f t="shared" si="9"/>
        <v>0</v>
      </c>
    </row>
    <row r="211" spans="1:32" s="1" customFormat="1" ht="15.75">
      <c r="A211" s="1790" t="s">
        <v>89</v>
      </c>
      <c r="B211" s="1790"/>
      <c r="C211" s="1790"/>
      <c r="D211" s="1790"/>
      <c r="E211" s="1790"/>
      <c r="F211" s="1790"/>
      <c r="G211" s="1790"/>
      <c r="H211" s="1790"/>
      <c r="I211" s="1790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s="876" customFormat="1" ht="12.75" thickBot="1">
      <c r="A212" s="875" t="s">
        <v>282</v>
      </c>
      <c r="C212" s="36"/>
      <c r="D212" s="36"/>
      <c r="E212" s="36"/>
      <c r="F212" s="1548"/>
      <c r="I212" s="877" t="s">
        <v>281</v>
      </c>
      <c r="K212" s="36"/>
    </row>
    <row r="213" spans="1:32" s="119" customFormat="1" ht="12.75" thickBot="1">
      <c r="A213" s="884" t="s">
        <v>4</v>
      </c>
      <c r="B213" s="905" t="s">
        <v>318</v>
      </c>
      <c r="C213" s="1103">
        <f>+C214+C215</f>
        <v>-73861</v>
      </c>
      <c r="D213" s="28">
        <f>+D214+D215</f>
        <v>-118258</v>
      </c>
      <c r="E213" s="28">
        <f>+E214+E215</f>
        <v>-118182</v>
      </c>
      <c r="F213" s="1558">
        <f>IF(ISERROR(E213/D213),"-",E213/D213)</f>
        <v>0.99935733734715626</v>
      </c>
      <c r="G213" s="110">
        <f>+G214+G215</f>
        <v>-118182</v>
      </c>
      <c r="H213" s="111">
        <f>+H214+H215</f>
        <v>0</v>
      </c>
      <c r="I213" s="112">
        <f>+I214+I215</f>
        <v>0</v>
      </c>
      <c r="K213" s="3">
        <f>+E213-G213-H213-I213</f>
        <v>0</v>
      </c>
    </row>
    <row r="214" spans="1:32">
      <c r="A214" s="892" t="s">
        <v>81</v>
      </c>
      <c r="B214" s="931" t="s">
        <v>319</v>
      </c>
      <c r="C214" s="1104">
        <f>+C10-C109</f>
        <v>-73861</v>
      </c>
      <c r="D214" s="10">
        <f>+D10-D109</f>
        <v>-76103</v>
      </c>
      <c r="E214" s="10">
        <f>+E10-E109</f>
        <v>-76027</v>
      </c>
      <c r="F214" s="1560">
        <f>IF(ISERROR(E214/D214),"-",E214/D214)</f>
        <v>0.99900135342890561</v>
      </c>
      <c r="G214" s="114">
        <f>+G10-G109</f>
        <v>-76027</v>
      </c>
      <c r="H214" s="115">
        <f>+H10-H109</f>
        <v>0</v>
      </c>
      <c r="I214" s="116">
        <f>+I10-I109</f>
        <v>0</v>
      </c>
      <c r="K214" s="4">
        <f>+E214-G214-H214-I214</f>
        <v>0</v>
      </c>
    </row>
    <row r="215" spans="1:32" ht="12.75" thickBot="1">
      <c r="A215" s="932" t="s">
        <v>82</v>
      </c>
      <c r="B215" s="933" t="s">
        <v>320</v>
      </c>
      <c r="C215" s="1111">
        <f>+C50-C149</f>
        <v>0</v>
      </c>
      <c r="D215" s="17">
        <f>+D50-D149</f>
        <v>-42155</v>
      </c>
      <c r="E215" s="17">
        <f>+E50-E149</f>
        <v>-42155</v>
      </c>
      <c r="F215" s="1566">
        <f>IF(ISERROR(E215/D215),"-",E215/D215)</f>
        <v>1</v>
      </c>
      <c r="G215" s="934">
        <f>+G50-G149</f>
        <v>-42155</v>
      </c>
      <c r="H215" s="929">
        <f>+H50-H149</f>
        <v>0</v>
      </c>
      <c r="I215" s="930">
        <f>+I50-I149</f>
        <v>0</v>
      </c>
      <c r="K215" s="4">
        <f>+E215-G215-H215-I215</f>
        <v>0</v>
      </c>
    </row>
    <row r="218" spans="1:32" s="1" customFormat="1" ht="15.75">
      <c r="A218" s="1790" t="s">
        <v>90</v>
      </c>
      <c r="B218" s="1790"/>
      <c r="C218" s="1790"/>
      <c r="D218" s="1790"/>
      <c r="E218" s="1790"/>
      <c r="F218" s="1790"/>
      <c r="G218" s="1790"/>
      <c r="H218" s="1790"/>
      <c r="I218" s="1790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s="876" customFormat="1" ht="12.75" thickBot="1">
      <c r="A219" s="875" t="s">
        <v>283</v>
      </c>
      <c r="C219" s="36"/>
      <c r="D219" s="36"/>
      <c r="E219" s="36"/>
      <c r="F219" s="1548"/>
      <c r="I219" s="877" t="s">
        <v>281</v>
      </c>
      <c r="K219" s="36"/>
    </row>
    <row r="220" spans="1:32" s="119" customFormat="1" ht="12.75" thickBot="1">
      <c r="A220" s="884" t="s">
        <v>4</v>
      </c>
      <c r="B220" s="905" t="s">
        <v>321</v>
      </c>
      <c r="C220" s="1103">
        <f>+C221+C228</f>
        <v>73861</v>
      </c>
      <c r="D220" s="28">
        <f>+D221+D228</f>
        <v>118258</v>
      </c>
      <c r="E220" s="28">
        <f>+E221+E228</f>
        <v>118222</v>
      </c>
      <c r="F220" s="1558">
        <f t="shared" ref="F220:F234" si="10">IF(ISERROR(E220/D220),"-",E220/D220)</f>
        <v>0.99969558084865295</v>
      </c>
      <c r="G220" s="110">
        <f>+G221+G228</f>
        <v>118222</v>
      </c>
      <c r="H220" s="111">
        <f>+H221+H228</f>
        <v>0</v>
      </c>
      <c r="I220" s="112">
        <f>+I221+I228</f>
        <v>0</v>
      </c>
      <c r="K220" s="3">
        <f t="shared" ref="K220:K234" si="11">+E220-G220-H220-I220</f>
        <v>0</v>
      </c>
    </row>
    <row r="221" spans="1:32" s="119" customFormat="1" ht="12.75" thickBot="1">
      <c r="A221" s="884" t="s">
        <v>5</v>
      </c>
      <c r="B221" s="891" t="s">
        <v>322</v>
      </c>
      <c r="C221" s="1103">
        <f>+C222-C225</f>
        <v>73861</v>
      </c>
      <c r="D221" s="28">
        <f>+D222-D225</f>
        <v>76103</v>
      </c>
      <c r="E221" s="28">
        <f>+E222-E225</f>
        <v>76067</v>
      </c>
      <c r="F221" s="1558">
        <f t="shared" si="10"/>
        <v>0.99952695688737636</v>
      </c>
      <c r="G221" s="110">
        <f>+G222-G225</f>
        <v>76067</v>
      </c>
      <c r="H221" s="111">
        <f>+H222-H225</f>
        <v>0</v>
      </c>
      <c r="I221" s="112">
        <f>+I222-I225</f>
        <v>0</v>
      </c>
      <c r="K221" s="3">
        <f t="shared" si="11"/>
        <v>0</v>
      </c>
    </row>
    <row r="222" spans="1:32">
      <c r="A222" s="892" t="s">
        <v>54</v>
      </c>
      <c r="B222" s="113" t="s">
        <v>323</v>
      </c>
      <c r="C222" s="1104">
        <f>+C223+C224</f>
        <v>73861</v>
      </c>
      <c r="D222" s="10">
        <f>+D223+D224</f>
        <v>76103</v>
      </c>
      <c r="E222" s="10">
        <f>+E223+E224</f>
        <v>76067</v>
      </c>
      <c r="F222" s="1560">
        <f t="shared" si="10"/>
        <v>0.99952695688737636</v>
      </c>
      <c r="G222" s="114">
        <f>+G223+G224</f>
        <v>76067</v>
      </c>
      <c r="H222" s="115">
        <f>+H223+H224</f>
        <v>0</v>
      </c>
      <c r="I222" s="116">
        <f>+I223+I224</f>
        <v>0</v>
      </c>
      <c r="K222" s="4">
        <f t="shared" si="11"/>
        <v>0</v>
      </c>
    </row>
    <row r="223" spans="1:32" s="117" customFormat="1">
      <c r="A223" s="108" t="s">
        <v>190</v>
      </c>
      <c r="B223" s="109" t="s">
        <v>285</v>
      </c>
      <c r="C223" s="1105">
        <f>+C76+C80</f>
        <v>0</v>
      </c>
      <c r="D223" s="12">
        <f>+D76+D80</f>
        <v>147</v>
      </c>
      <c r="E223" s="12">
        <f>+E76+E80</f>
        <v>147</v>
      </c>
      <c r="F223" s="1562">
        <f t="shared" si="10"/>
        <v>1</v>
      </c>
      <c r="G223" s="656">
        <f>+G76+G80</f>
        <v>147</v>
      </c>
      <c r="H223" s="657">
        <f>+H76+H80</f>
        <v>0</v>
      </c>
      <c r="I223" s="658">
        <f>+I76+I80</f>
        <v>0</v>
      </c>
      <c r="K223" s="13">
        <f t="shared" si="11"/>
        <v>0</v>
      </c>
    </row>
    <row r="224" spans="1:32" s="117" customFormat="1">
      <c r="A224" s="108" t="s">
        <v>191</v>
      </c>
      <c r="B224" s="109" t="s">
        <v>286</v>
      </c>
      <c r="C224" s="1105">
        <f>+C74+C75+C77+C78+C79+C81</f>
        <v>73861</v>
      </c>
      <c r="D224" s="12">
        <f>+D74+D75+D77+D78+D79+D81</f>
        <v>75956</v>
      </c>
      <c r="E224" s="12">
        <f>+E74+E75+E77+E78+E79+E81</f>
        <v>75920</v>
      </c>
      <c r="F224" s="1562">
        <f t="shared" si="10"/>
        <v>0.9995260413923851</v>
      </c>
      <c r="G224" s="656">
        <f>+G74+G75+G77+G78+G79+G81</f>
        <v>75920</v>
      </c>
      <c r="H224" s="657">
        <f>+H74+H75+H77+H78+H79+H81</f>
        <v>0</v>
      </c>
      <c r="I224" s="658">
        <f>+I74+I75+I77+I78+I79+I81</f>
        <v>0</v>
      </c>
      <c r="K224" s="13">
        <f t="shared" si="11"/>
        <v>0</v>
      </c>
    </row>
    <row r="225" spans="1:32">
      <c r="A225" s="896" t="s">
        <v>55</v>
      </c>
      <c r="B225" s="897" t="s">
        <v>324</v>
      </c>
      <c r="C225" s="1106">
        <f>+C227</f>
        <v>0</v>
      </c>
      <c r="D225" s="11">
        <f>+D227</f>
        <v>0</v>
      </c>
      <c r="E225" s="11">
        <f>+E227</f>
        <v>0</v>
      </c>
      <c r="F225" s="1562" t="str">
        <f t="shared" si="10"/>
        <v>-</v>
      </c>
      <c r="G225" s="866">
        <f>+G227</f>
        <v>0</v>
      </c>
      <c r="H225" s="867">
        <f>+H227</f>
        <v>0</v>
      </c>
      <c r="I225" s="868">
        <f>+I227</f>
        <v>0</v>
      </c>
      <c r="K225" s="4">
        <f t="shared" si="11"/>
        <v>0</v>
      </c>
    </row>
    <row r="226" spans="1:32" s="117" customFormat="1">
      <c r="A226" s="108" t="s">
        <v>56</v>
      </c>
      <c r="B226" s="109" t="s">
        <v>287</v>
      </c>
      <c r="C226" s="1105">
        <f>+C185</f>
        <v>0</v>
      </c>
      <c r="D226" s="12">
        <f>+D185</f>
        <v>0</v>
      </c>
      <c r="E226" s="12">
        <f>+E185</f>
        <v>0</v>
      </c>
      <c r="F226" s="1562" t="str">
        <f t="shared" si="10"/>
        <v>-</v>
      </c>
      <c r="G226" s="656">
        <f>+G185</f>
        <v>0</v>
      </c>
      <c r="H226" s="657">
        <f>+H185</f>
        <v>0</v>
      </c>
      <c r="I226" s="658">
        <f>+I185</f>
        <v>0</v>
      </c>
      <c r="K226" s="13">
        <f t="shared" si="11"/>
        <v>0</v>
      </c>
    </row>
    <row r="227" spans="1:32" s="117" customFormat="1" ht="12.75" thickBot="1">
      <c r="A227" s="900" t="s">
        <v>57</v>
      </c>
      <c r="B227" s="922" t="s">
        <v>288</v>
      </c>
      <c r="C227" s="1108">
        <f>+C180+C181+C182+C183+C184+C186+C187</f>
        <v>0</v>
      </c>
      <c r="D227" s="43">
        <f>+D180+D181+D182+D183+D184+D186+D187</f>
        <v>0</v>
      </c>
      <c r="E227" s="43">
        <f>+E180+E181+E182+E183+E184+E186+E187</f>
        <v>0</v>
      </c>
      <c r="F227" s="1561" t="str">
        <f t="shared" si="10"/>
        <v>-</v>
      </c>
      <c r="G227" s="902">
        <f>+G180+G181+G182+G183+G184+G186+G187</f>
        <v>0</v>
      </c>
      <c r="H227" s="903">
        <f>+H180+H181+H182+H183+H184+H186+H187</f>
        <v>0</v>
      </c>
      <c r="I227" s="904">
        <f>+I180+I181+I182+I183+I184+I186+I187</f>
        <v>0</v>
      </c>
      <c r="K227" s="13">
        <f t="shared" si="11"/>
        <v>0</v>
      </c>
    </row>
    <row r="228" spans="1:32" s="119" customFormat="1" ht="12.75" thickBot="1">
      <c r="A228" s="884" t="s">
        <v>6</v>
      </c>
      <c r="B228" s="891" t="s">
        <v>325</v>
      </c>
      <c r="C228" s="1103">
        <f>+C229-C232</f>
        <v>0</v>
      </c>
      <c r="D228" s="28">
        <f>+D229-D232</f>
        <v>42155</v>
      </c>
      <c r="E228" s="28">
        <f>+E229-E232</f>
        <v>42155</v>
      </c>
      <c r="F228" s="1558">
        <f t="shared" si="10"/>
        <v>1</v>
      </c>
      <c r="G228" s="110">
        <f>+G229-G232</f>
        <v>42155</v>
      </c>
      <c r="H228" s="111">
        <f>+H229-H232</f>
        <v>0</v>
      </c>
      <c r="I228" s="112">
        <f>+I229-I232</f>
        <v>0</v>
      </c>
      <c r="K228" s="3">
        <f t="shared" si="11"/>
        <v>0</v>
      </c>
    </row>
    <row r="229" spans="1:32">
      <c r="A229" s="892" t="s">
        <v>58</v>
      </c>
      <c r="B229" s="113" t="s">
        <v>326</v>
      </c>
      <c r="C229" s="1104">
        <f>+C230+C231</f>
        <v>0</v>
      </c>
      <c r="D229" s="10">
        <f>+D230+D231</f>
        <v>42155</v>
      </c>
      <c r="E229" s="10">
        <f>+E230+E231</f>
        <v>42155</v>
      </c>
      <c r="F229" s="1560">
        <f t="shared" si="10"/>
        <v>1</v>
      </c>
      <c r="G229" s="114">
        <f>+G230+G231</f>
        <v>42155</v>
      </c>
      <c r="H229" s="115">
        <f>+H230+H231</f>
        <v>0</v>
      </c>
      <c r="I229" s="116">
        <f>+I230+I231</f>
        <v>0</v>
      </c>
      <c r="K229" s="4">
        <f t="shared" si="11"/>
        <v>0</v>
      </c>
    </row>
    <row r="230" spans="1:32" s="117" customFormat="1">
      <c r="A230" s="108" t="s">
        <v>293</v>
      </c>
      <c r="B230" s="109" t="s">
        <v>291</v>
      </c>
      <c r="C230" s="1105">
        <f>+C91+C95</f>
        <v>0</v>
      </c>
      <c r="D230" s="12">
        <f>+D91+D95</f>
        <v>0</v>
      </c>
      <c r="E230" s="12">
        <f>+E91+E95</f>
        <v>0</v>
      </c>
      <c r="F230" s="1562" t="str">
        <f t="shared" si="10"/>
        <v>-</v>
      </c>
      <c r="G230" s="656">
        <f>+G91+G95</f>
        <v>0</v>
      </c>
      <c r="H230" s="657">
        <f>+H91+H95</f>
        <v>0</v>
      </c>
      <c r="I230" s="658">
        <f>+I91+I95</f>
        <v>0</v>
      </c>
      <c r="K230" s="13">
        <f t="shared" si="11"/>
        <v>0</v>
      </c>
    </row>
    <row r="231" spans="1:32" s="117" customFormat="1">
      <c r="A231" s="108" t="s">
        <v>294</v>
      </c>
      <c r="B231" s="109" t="s">
        <v>292</v>
      </c>
      <c r="C231" s="1105">
        <f>+C89+C90+C92+C93+C94+C96</f>
        <v>0</v>
      </c>
      <c r="D231" s="12">
        <f>+D89+D90+D92+D93+D94+D96</f>
        <v>42155</v>
      </c>
      <c r="E231" s="12">
        <f>+E89+E90+E92+E93+E94+E96</f>
        <v>42155</v>
      </c>
      <c r="F231" s="1562">
        <f t="shared" si="10"/>
        <v>1</v>
      </c>
      <c r="G231" s="656">
        <f>+G89+G90+G92+G93+G94+G96</f>
        <v>42155</v>
      </c>
      <c r="H231" s="657">
        <f>+H89+H90+H92+H93+H94+H96</f>
        <v>0</v>
      </c>
      <c r="I231" s="658">
        <f>+I89+I90+I92+I93+I94+I96</f>
        <v>0</v>
      </c>
      <c r="K231" s="13">
        <f t="shared" si="11"/>
        <v>0</v>
      </c>
    </row>
    <row r="232" spans="1:32">
      <c r="A232" s="896" t="s">
        <v>59</v>
      </c>
      <c r="B232" s="897" t="s">
        <v>327</v>
      </c>
      <c r="C232" s="1106">
        <f>+C233+C234</f>
        <v>0</v>
      </c>
      <c r="D232" s="11">
        <f>+D233+D234</f>
        <v>0</v>
      </c>
      <c r="E232" s="11">
        <f>+E233+E234</f>
        <v>0</v>
      </c>
      <c r="F232" s="1562" t="str">
        <f t="shared" si="10"/>
        <v>-</v>
      </c>
      <c r="G232" s="866">
        <f>+G233+G234</f>
        <v>0</v>
      </c>
      <c r="H232" s="867">
        <f>+H233+H234</f>
        <v>0</v>
      </c>
      <c r="I232" s="868">
        <f>+I233+I234</f>
        <v>0</v>
      </c>
      <c r="K232" s="4">
        <f t="shared" si="11"/>
        <v>0</v>
      </c>
    </row>
    <row r="233" spans="1:32" s="117" customFormat="1">
      <c r="A233" s="108" t="s">
        <v>295</v>
      </c>
      <c r="B233" s="109" t="s">
        <v>289</v>
      </c>
      <c r="C233" s="1105">
        <f>+C200</f>
        <v>0</v>
      </c>
      <c r="D233" s="12">
        <f>+D200</f>
        <v>0</v>
      </c>
      <c r="E233" s="12">
        <f>+E200</f>
        <v>0</v>
      </c>
      <c r="F233" s="1562" t="str">
        <f t="shared" si="10"/>
        <v>-</v>
      </c>
      <c r="G233" s="656">
        <f>+G200</f>
        <v>0</v>
      </c>
      <c r="H233" s="657">
        <f>+H200</f>
        <v>0</v>
      </c>
      <c r="I233" s="658">
        <f>+I200</f>
        <v>0</v>
      </c>
      <c r="K233" s="13">
        <f t="shared" si="11"/>
        <v>0</v>
      </c>
    </row>
    <row r="234" spans="1:32" s="117" customFormat="1" ht="12.75" thickBot="1">
      <c r="A234" s="935" t="s">
        <v>296</v>
      </c>
      <c r="B234" s="936" t="s">
        <v>290</v>
      </c>
      <c r="C234" s="1112">
        <f>+C195+C196+C197+C198+C199+C201+C202</f>
        <v>0</v>
      </c>
      <c r="D234" s="41">
        <f>+D195+D196+D197+D198+D199+D201+D202</f>
        <v>0</v>
      </c>
      <c r="E234" s="41">
        <f>+E195+E196+E197+E198+E199+E201+E202</f>
        <v>0</v>
      </c>
      <c r="F234" s="1566" t="str">
        <f t="shared" si="10"/>
        <v>-</v>
      </c>
      <c r="G234" s="937">
        <f>+G195+G196+G197+G198+G199+G201+G202</f>
        <v>0</v>
      </c>
      <c r="H234" s="938">
        <f>+H195+H196+H197+H198+H199+H201+H202</f>
        <v>0</v>
      </c>
      <c r="I234" s="939">
        <f>+I195+I196+I197+I198+I199+I201+I202</f>
        <v>0</v>
      </c>
      <c r="K234" s="13">
        <f t="shared" si="11"/>
        <v>0</v>
      </c>
    </row>
    <row r="237" spans="1:32" s="1" customFormat="1" ht="15.75">
      <c r="A237" s="1790" t="s">
        <v>1307</v>
      </c>
      <c r="B237" s="1790"/>
      <c r="C237" s="1790"/>
      <c r="D237" s="1790"/>
      <c r="E237" s="1790"/>
      <c r="F237" s="1790"/>
      <c r="G237" s="1790"/>
      <c r="H237" s="1790"/>
      <c r="I237" s="179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s="876" customFormat="1" ht="12.75" thickBot="1">
      <c r="A238" s="875" t="s">
        <v>284</v>
      </c>
      <c r="C238" s="36"/>
      <c r="D238" s="36"/>
      <c r="E238" s="36"/>
      <c r="F238" s="1548"/>
      <c r="I238" s="877"/>
      <c r="K238" s="36"/>
    </row>
    <row r="239" spans="1:32" s="119" customFormat="1">
      <c r="A239" s="940" t="s">
        <v>4</v>
      </c>
      <c r="B239" s="941" t="s">
        <v>91</v>
      </c>
      <c r="C239" s="1113">
        <v>15</v>
      </c>
      <c r="D239" s="55">
        <v>21</v>
      </c>
      <c r="E239" s="55">
        <f>8+10</f>
        <v>18</v>
      </c>
      <c r="F239" s="1559">
        <f>IF(ISERROR(E239/D239),"-",E239/D239)</f>
        <v>0.8571428571428571</v>
      </c>
      <c r="G239" s="942">
        <v>18</v>
      </c>
      <c r="H239" s="943"/>
      <c r="I239" s="944"/>
      <c r="K239" s="3">
        <f>+E239-G239-H239-I239</f>
        <v>0</v>
      </c>
    </row>
    <row r="240" spans="1:32" s="117" customFormat="1">
      <c r="A240" s="900" t="s">
        <v>351</v>
      </c>
      <c r="B240" s="945" t="s">
        <v>352</v>
      </c>
      <c r="C240" s="1114"/>
      <c r="D240" s="101"/>
      <c r="E240" s="101"/>
      <c r="F240" s="1561" t="str">
        <f>IF(ISERROR(E240/D240),"-",E240/D240)</f>
        <v>-</v>
      </c>
      <c r="G240" s="946"/>
      <c r="H240" s="947"/>
      <c r="I240" s="948"/>
      <c r="K240" s="13">
        <f>+E240-G240-H240-I240</f>
        <v>0</v>
      </c>
    </row>
    <row r="241" spans="1:11" s="119" customFormat="1" ht="12.75" thickBot="1">
      <c r="A241" s="949" t="s">
        <v>5</v>
      </c>
      <c r="B241" s="950" t="s">
        <v>92</v>
      </c>
      <c r="C241" s="1115"/>
      <c r="D241" s="58"/>
      <c r="E241" s="58"/>
      <c r="F241" s="1567" t="str">
        <f>IF(ISERROR(E241/D241),"-",E241/D241)</f>
        <v>-</v>
      </c>
      <c r="G241" s="951"/>
      <c r="H241" s="952"/>
      <c r="I241" s="953"/>
      <c r="K241" s="3">
        <f>+E241-G241-H241-I241</f>
        <v>0</v>
      </c>
    </row>
    <row r="242" spans="1:11" s="119" customFormat="1" ht="12.75" thickBot="1">
      <c r="A242" s="884" t="s">
        <v>6</v>
      </c>
      <c r="B242" s="905" t="s">
        <v>330</v>
      </c>
      <c r="C242" s="1116">
        <f>+C239+C241</f>
        <v>15</v>
      </c>
      <c r="D242" s="61">
        <f>+D239+D241</f>
        <v>21</v>
      </c>
      <c r="E242" s="61">
        <f>+E239+E241</f>
        <v>18</v>
      </c>
      <c r="F242" s="1558">
        <f>IF(ISERROR(E242/D242),"-",E242/D242)</f>
        <v>0.8571428571428571</v>
      </c>
      <c r="G242" s="954">
        <f>+G239+G241</f>
        <v>18</v>
      </c>
      <c r="H242" s="955">
        <f>+H239+H241</f>
        <v>0</v>
      </c>
      <c r="I242" s="956">
        <f>+I239+I241</f>
        <v>0</v>
      </c>
      <c r="K242" s="3">
        <f>+E242-G242-H242-I242</f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108:I108"/>
    <mergeCell ref="C9:I9"/>
  </mergeCells>
  <conditionalFormatting sqref="F26:F31 F89:F100 F65:F69 F59:F63 F52:F57 F45:F49 F33:F43 F13:F24 F195:F206 F180:F191 F166:F175 F151:F158 F147:F148 F133:F145 F124:F131 F117:F122 F111:F115 F160:F164 F74:F85">
    <cfRule type="cellIs" dxfId="2" priority="2" stopIfTrue="1" operator="equal">
      <formula>0</formula>
    </cfRule>
  </conditionalFormatting>
  <conditionalFormatting sqref="F65:F69 F59:F63 F52:F57 F45:F49 F33:F43 F13:F24 F195:F206 F180:F191 F166:F175 F160:F164 F151:F158 F147:F148 F133:F145 F124:F131 F117:F122 F111:F115 F26:F31 F89:F100 F74:F85">
    <cfRule type="cellIs" dxfId="1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1.6. melléklet - &amp;P. oldal</oddHeader>
  </headerFooter>
  <rowBreaks count="1" manualBreakCount="1">
    <brk id="10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13">
    <tabColor rgb="FF00B0F0"/>
    <pageSetUpPr fitToPage="1"/>
  </sheetPr>
  <dimension ref="A1:Q35"/>
  <sheetViews>
    <sheetView zoomScaleNormal="100" workbookViewId="0"/>
  </sheetViews>
  <sheetFormatPr defaultRowHeight="12"/>
  <cols>
    <col min="1" max="1" width="6.5703125" style="4" customWidth="1"/>
    <col min="2" max="2" width="70.42578125" style="4" customWidth="1"/>
    <col min="3" max="5" width="9.28515625" style="4" customWidth="1"/>
    <col min="6" max="6" width="9.28515625" style="1565" customWidth="1"/>
    <col min="7" max="9" width="9.28515625" style="4" customWidth="1"/>
    <col min="10" max="10" width="60" style="4" customWidth="1"/>
    <col min="11" max="13" width="9.28515625" style="4" customWidth="1"/>
    <col min="14" max="14" width="9.28515625" style="1565" customWidth="1"/>
    <col min="15" max="17" width="9.28515625" style="4" customWidth="1"/>
    <col min="18" max="16384" width="9.140625" style="4"/>
  </cols>
  <sheetData>
    <row r="1" spans="1:17" s="50" customFormat="1" ht="15.75">
      <c r="F1" s="1547"/>
      <c r="N1" s="1547"/>
      <c r="Q1" s="51" t="s">
        <v>388</v>
      </c>
    </row>
    <row r="2" spans="1:17" s="50" customFormat="1" ht="15.75">
      <c r="F2" s="1547"/>
      <c r="N2" s="1547"/>
    </row>
    <row r="3" spans="1:17" s="52" customFormat="1" ht="15.75">
      <c r="A3" s="1789" t="s">
        <v>331</v>
      </c>
      <c r="B3" s="1789"/>
      <c r="C3" s="1789"/>
      <c r="D3" s="1789"/>
      <c r="E3" s="1789"/>
      <c r="F3" s="1789"/>
      <c r="G3" s="1789"/>
      <c r="H3" s="1789"/>
      <c r="I3" s="1789"/>
      <c r="J3" s="1789"/>
      <c r="K3" s="1789"/>
      <c r="L3" s="1789"/>
      <c r="M3" s="1789"/>
      <c r="N3" s="1789"/>
      <c r="O3" s="1789"/>
      <c r="P3" s="1789"/>
      <c r="Q3" s="1789"/>
    </row>
    <row r="4" spans="1:17" s="52" customFormat="1" ht="15.75">
      <c r="A4" s="1789" t="s">
        <v>1309</v>
      </c>
      <c r="B4" s="1789"/>
      <c r="C4" s="1789"/>
      <c r="D4" s="1789"/>
      <c r="E4" s="1789"/>
      <c r="F4" s="1789"/>
      <c r="G4" s="1789"/>
      <c r="H4" s="1789"/>
      <c r="I4" s="1789"/>
      <c r="J4" s="1789"/>
      <c r="K4" s="1789"/>
      <c r="L4" s="1789"/>
      <c r="M4" s="1789"/>
      <c r="N4" s="1789"/>
      <c r="O4" s="1789"/>
      <c r="P4" s="1789"/>
      <c r="Q4" s="1789"/>
    </row>
    <row r="5" spans="1:17" s="36" customFormat="1" ht="12.75" thickBot="1">
      <c r="A5" s="38"/>
      <c r="F5" s="1548"/>
      <c r="N5" s="1548"/>
      <c r="Q5" s="37" t="s">
        <v>281</v>
      </c>
    </row>
    <row r="6" spans="1:17" s="8" customFormat="1" ht="54" customHeight="1" thickBot="1">
      <c r="A6" s="79" t="s">
        <v>17</v>
      </c>
      <c r="B6" s="93" t="s">
        <v>328</v>
      </c>
      <c r="C6" s="1101" t="s">
        <v>1553</v>
      </c>
      <c r="D6" s="6" t="s">
        <v>1554</v>
      </c>
      <c r="E6" s="6" t="s">
        <v>2646</v>
      </c>
      <c r="F6" s="1549" t="s">
        <v>2645</v>
      </c>
      <c r="G6" s="131" t="s">
        <v>51</v>
      </c>
      <c r="H6" s="130" t="s">
        <v>52</v>
      </c>
      <c r="I6" s="129" t="s">
        <v>53</v>
      </c>
      <c r="J6" s="80" t="s">
        <v>329</v>
      </c>
      <c r="K6" s="1101" t="s">
        <v>1553</v>
      </c>
      <c r="L6" s="6" t="s">
        <v>1554</v>
      </c>
      <c r="M6" s="6" t="s">
        <v>2646</v>
      </c>
      <c r="N6" s="1549" t="s">
        <v>2645</v>
      </c>
      <c r="O6" s="131" t="s">
        <v>51</v>
      </c>
      <c r="P6" s="130" t="s">
        <v>52</v>
      </c>
      <c r="Q6" s="129" t="s">
        <v>53</v>
      </c>
    </row>
    <row r="7" spans="1:17" s="3" customFormat="1" ht="13.5" customHeight="1" thickBot="1">
      <c r="A7" s="83" t="s">
        <v>253</v>
      </c>
      <c r="B7" s="94" t="s">
        <v>254</v>
      </c>
      <c r="C7" s="1798" t="s">
        <v>255</v>
      </c>
      <c r="D7" s="1799"/>
      <c r="E7" s="1799"/>
      <c r="F7" s="1799"/>
      <c r="G7" s="1799"/>
      <c r="H7" s="1799"/>
      <c r="I7" s="1800"/>
      <c r="J7" s="82" t="s">
        <v>361</v>
      </c>
      <c r="K7" s="1798" t="s">
        <v>362</v>
      </c>
      <c r="L7" s="1799"/>
      <c r="M7" s="1799"/>
      <c r="N7" s="1799"/>
      <c r="O7" s="1799"/>
      <c r="P7" s="1799"/>
      <c r="Q7" s="1800"/>
    </row>
    <row r="8" spans="1:17" s="3" customFormat="1" ht="12.75" thickBot="1">
      <c r="A8" s="95" t="s">
        <v>4</v>
      </c>
      <c r="B8" s="63" t="s">
        <v>371</v>
      </c>
      <c r="C8" s="1133">
        <f t="shared" ref="C8:I8" si="0">+C9+C11+C13+C15</f>
        <v>1485199</v>
      </c>
      <c r="D8" s="1142">
        <f t="shared" si="0"/>
        <v>2224500</v>
      </c>
      <c r="E8" s="1142">
        <f t="shared" si="0"/>
        <v>2037989</v>
      </c>
      <c r="F8" s="1568">
        <f t="shared" ref="F8:F35" si="1">IF(ISERROR(E8/D8),"-",E8/D8)</f>
        <v>0.91615599011013715</v>
      </c>
      <c r="G8" s="31">
        <f t="shared" si="0"/>
        <v>2005145</v>
      </c>
      <c r="H8" s="32">
        <f t="shared" si="0"/>
        <v>26322</v>
      </c>
      <c r="I8" s="33">
        <f t="shared" si="0"/>
        <v>6522</v>
      </c>
      <c r="J8" s="69" t="s">
        <v>372</v>
      </c>
      <c r="K8" s="1134">
        <f t="shared" ref="K8:Q8" si="2">+K9+K11+K13+K15+K16</f>
        <v>4110574</v>
      </c>
      <c r="L8" s="1143">
        <f t="shared" si="2"/>
        <v>5205095</v>
      </c>
      <c r="M8" s="1143">
        <f t="shared" si="2"/>
        <v>1963655</v>
      </c>
      <c r="N8" s="1558">
        <f t="shared" ref="N8:N35" si="3">IF(ISERROR(M8/L8),"-",M8/L8)</f>
        <v>0.37725632289132088</v>
      </c>
      <c r="O8" s="27">
        <f t="shared" si="2"/>
        <v>1909865</v>
      </c>
      <c r="P8" s="28">
        <f t="shared" si="2"/>
        <v>46578</v>
      </c>
      <c r="Q8" s="29">
        <f t="shared" si="2"/>
        <v>7212</v>
      </c>
    </row>
    <row r="9" spans="1:17" ht="12.75" customHeight="1">
      <c r="A9" s="125" t="s">
        <v>5</v>
      </c>
      <c r="B9" s="120" t="s">
        <v>374</v>
      </c>
      <c r="C9" s="1165">
        <f>+'1.mell._Össz_Mérleg2019'!C11</f>
        <v>962806</v>
      </c>
      <c r="D9" s="1167">
        <f>+'1.mell._Össz_Mérleg2019'!D11</f>
        <v>1466167</v>
      </c>
      <c r="E9" s="1167">
        <f>+'1.mell._Össz_Mérleg2019'!E11</f>
        <v>1466167</v>
      </c>
      <c r="F9" s="1574">
        <f t="shared" si="1"/>
        <v>1</v>
      </c>
      <c r="G9" s="49">
        <f>+'1.mell._Össz_Mérleg2019'!G11</f>
        <v>1459545</v>
      </c>
      <c r="H9" s="47">
        <f>+'1.mell._Össz_Mérleg2019'!H11</f>
        <v>100</v>
      </c>
      <c r="I9" s="48">
        <f>+'1.mell._Össz_Mérleg2019'!I11</f>
        <v>6522</v>
      </c>
      <c r="J9" s="126" t="s">
        <v>379</v>
      </c>
      <c r="K9" s="1165">
        <f>+'1.mell._Össz_Mérleg2019'!C110</f>
        <v>655870</v>
      </c>
      <c r="L9" s="1167">
        <f>+'1.mell._Össz_Mérleg2019'!D110</f>
        <v>930589</v>
      </c>
      <c r="M9" s="1167">
        <f>+'1.mell._Össz_Mérleg2019'!E110</f>
        <v>915906</v>
      </c>
      <c r="N9" s="1574">
        <f t="shared" si="3"/>
        <v>0.98422182080381349</v>
      </c>
      <c r="O9" s="49">
        <f>+'1.mell._Össz_Mérleg2019'!G110</f>
        <v>895054</v>
      </c>
      <c r="P9" s="47">
        <f>+'1.mell._Össz_Mérleg2019'!H110</f>
        <v>15075</v>
      </c>
      <c r="Q9" s="48">
        <f>+'1.mell._Össz_Mérleg2019'!I110</f>
        <v>5777</v>
      </c>
    </row>
    <row r="10" spans="1:17" s="13" customFormat="1" ht="24">
      <c r="A10" s="86" t="s">
        <v>349</v>
      </c>
      <c r="B10" s="136" t="s">
        <v>333</v>
      </c>
      <c r="C10" s="1136">
        <f>+'1.mell._Össz_Mérleg2019'!C24</f>
        <v>0</v>
      </c>
      <c r="D10" s="1145">
        <f>+'1.mell._Össz_Mérleg2019'!D24</f>
        <v>371747</v>
      </c>
      <c r="E10" s="1145">
        <f>+'1.mell._Össz_Mérleg2019'!E24</f>
        <v>371747</v>
      </c>
      <c r="F10" s="1562">
        <f t="shared" si="1"/>
        <v>1</v>
      </c>
      <c r="G10" s="19">
        <f>+'1.mell._Össz_Mérleg2019'!G24</f>
        <v>371747</v>
      </c>
      <c r="H10" s="12">
        <f>+'1.mell._Össz_Mérleg2019'!H24</f>
        <v>0</v>
      </c>
      <c r="I10" s="15">
        <f>+'1.mell._Össz_Mérleg2019'!I24</f>
        <v>0</v>
      </c>
      <c r="J10" s="138" t="s">
        <v>350</v>
      </c>
      <c r="K10" s="1136">
        <f>+'1.mell._Össz_Mérleg2019'!C111</f>
        <v>0</v>
      </c>
      <c r="L10" s="1145">
        <f>+'1.mell._Össz_Mérleg2019'!D111</f>
        <v>150406</v>
      </c>
      <c r="M10" s="1145">
        <f>+'1.mell._Össz_Mérleg2019'!E111</f>
        <v>150406</v>
      </c>
      <c r="N10" s="1562">
        <f t="shared" si="3"/>
        <v>1</v>
      </c>
      <c r="O10" s="19">
        <f>+'1.mell._Össz_Mérleg2019'!G111</f>
        <v>150406</v>
      </c>
      <c r="P10" s="12">
        <f>+'1.mell._Össz_Mérleg2019'!H111</f>
        <v>0</v>
      </c>
      <c r="Q10" s="15">
        <f>+'1.mell._Össz_Mérleg2019'!I111</f>
        <v>0</v>
      </c>
    </row>
    <row r="11" spans="1:17" ht="12.75" customHeight="1">
      <c r="A11" s="85" t="s">
        <v>6</v>
      </c>
      <c r="B11" s="127" t="s">
        <v>375</v>
      </c>
      <c r="C11" s="1137">
        <f>+'1.mell._Össz_Mérleg2019'!C25</f>
        <v>384050</v>
      </c>
      <c r="D11" s="1146">
        <f>+'1.mell._Össz_Mérleg2019'!D25</f>
        <v>541722</v>
      </c>
      <c r="E11" s="1146">
        <f>+'1.mell._Össz_Mérleg2019'!E25</f>
        <v>394432</v>
      </c>
      <c r="F11" s="1562">
        <f t="shared" si="1"/>
        <v>0.72810777483653977</v>
      </c>
      <c r="G11" s="20">
        <f>+'1.mell._Össz_Mérleg2019'!G25</f>
        <v>394432</v>
      </c>
      <c r="H11" s="11">
        <f>+'1.mell._Össz_Mérleg2019'!H25</f>
        <v>0</v>
      </c>
      <c r="I11" s="16">
        <f>+'1.mell._Össz_Mérleg2019'!I25</f>
        <v>0</v>
      </c>
      <c r="J11" s="128" t="s">
        <v>373</v>
      </c>
      <c r="K11" s="1137">
        <f>+'1.mell._Össz_Mérleg2019'!C114</f>
        <v>131505</v>
      </c>
      <c r="L11" s="1146">
        <f>+'1.mell._Össz_Mérleg2019'!D114</f>
        <v>178765</v>
      </c>
      <c r="M11" s="1146">
        <f>+'1.mell._Össz_Mérleg2019'!E114</f>
        <v>169543</v>
      </c>
      <c r="N11" s="1562">
        <f t="shared" si="3"/>
        <v>0.9484127206108578</v>
      </c>
      <c r="O11" s="20">
        <f>+'1.mell._Össz_Mérleg2019'!G114</f>
        <v>165689</v>
      </c>
      <c r="P11" s="11">
        <f>+'1.mell._Össz_Mérleg2019'!H114</f>
        <v>2693</v>
      </c>
      <c r="Q11" s="16">
        <f>+'1.mell._Össz_Mérleg2019'!I114</f>
        <v>1161</v>
      </c>
    </row>
    <row r="12" spans="1:17" s="13" customFormat="1" ht="24">
      <c r="A12" s="86" t="s">
        <v>346</v>
      </c>
      <c r="B12" s="122"/>
      <c r="C12" s="1136"/>
      <c r="D12" s="1145"/>
      <c r="E12" s="1145"/>
      <c r="F12" s="1562"/>
      <c r="G12" s="19"/>
      <c r="H12" s="12"/>
      <c r="I12" s="15"/>
      <c r="J12" s="138" t="s">
        <v>347</v>
      </c>
      <c r="K12" s="1136">
        <f>+'1.mell._Össz_Mérleg2019'!C115</f>
        <v>0</v>
      </c>
      <c r="L12" s="1145">
        <f>+'1.mell._Össz_Mérleg2019'!D115</f>
        <v>26165</v>
      </c>
      <c r="M12" s="1145">
        <f>+'1.mell._Össz_Mérleg2019'!E115</f>
        <v>26165</v>
      </c>
      <c r="N12" s="1562">
        <f t="shared" si="3"/>
        <v>1</v>
      </c>
      <c r="O12" s="19">
        <f>+'1.mell._Össz_Mérleg2019'!G115</f>
        <v>26165</v>
      </c>
      <c r="P12" s="12">
        <f>+'1.mell._Össz_Mérleg2019'!H115</f>
        <v>0</v>
      </c>
      <c r="Q12" s="15">
        <f>+'1.mell._Össz_Mérleg2019'!I115</f>
        <v>0</v>
      </c>
    </row>
    <row r="13" spans="1:17">
      <c r="A13" s="85" t="s">
        <v>3</v>
      </c>
      <c r="B13" s="127" t="s">
        <v>376</v>
      </c>
      <c r="C13" s="1137">
        <f>+'1.mell._Össz_Mérleg2019'!C32</f>
        <v>132543</v>
      </c>
      <c r="D13" s="1146">
        <f>+'1.mell._Össz_Mérleg2019'!D32</f>
        <v>161795</v>
      </c>
      <c r="E13" s="1146">
        <f>+'1.mell._Össz_Mérleg2019'!E32</f>
        <v>129585</v>
      </c>
      <c r="F13" s="1562">
        <f t="shared" si="1"/>
        <v>0.80092091844618185</v>
      </c>
      <c r="G13" s="20">
        <f>+'1.mell._Össz_Mérleg2019'!G32</f>
        <v>103363</v>
      </c>
      <c r="H13" s="11">
        <f>+'1.mell._Össz_Mérleg2019'!H32</f>
        <v>26222</v>
      </c>
      <c r="I13" s="16">
        <f>+'1.mell._Össz_Mérleg2019'!I32</f>
        <v>0</v>
      </c>
      <c r="J13" s="128" t="s">
        <v>380</v>
      </c>
      <c r="K13" s="1137">
        <f>+'1.mell._Össz_Mérleg2019'!C116</f>
        <v>391454</v>
      </c>
      <c r="L13" s="1146">
        <f>+'1.mell._Össz_Mérleg2019'!D116</f>
        <v>834328</v>
      </c>
      <c r="M13" s="1146">
        <f>+'1.mell._Össz_Mérleg2019'!E116</f>
        <v>745686</v>
      </c>
      <c r="N13" s="1562">
        <f t="shared" si="3"/>
        <v>0.89375641234622349</v>
      </c>
      <c r="O13" s="20">
        <f>+'1.mell._Össz_Mérleg2019'!G116</f>
        <v>717792</v>
      </c>
      <c r="P13" s="11">
        <f>+'1.mell._Össz_Mérleg2019'!H116</f>
        <v>27620</v>
      </c>
      <c r="Q13" s="16">
        <f>+'1.mell._Össz_Mérleg2019'!I116</f>
        <v>274</v>
      </c>
    </row>
    <row r="14" spans="1:17" s="13" customFormat="1" ht="24">
      <c r="A14" s="86" t="s">
        <v>341</v>
      </c>
      <c r="B14" s="123"/>
      <c r="C14" s="1136"/>
      <c r="D14" s="1145"/>
      <c r="E14" s="1145"/>
      <c r="F14" s="1562"/>
      <c r="G14" s="19"/>
      <c r="H14" s="12"/>
      <c r="I14" s="15"/>
      <c r="J14" s="138" t="s">
        <v>348</v>
      </c>
      <c r="K14" s="1136">
        <f>+'1.mell._Össz_Mérleg2019'!C117</f>
        <v>0</v>
      </c>
      <c r="L14" s="1145">
        <f>+'1.mell._Össz_Mérleg2019'!D117</f>
        <v>272137</v>
      </c>
      <c r="M14" s="1145">
        <f>+'1.mell._Össz_Mérleg2019'!E117</f>
        <v>272137</v>
      </c>
      <c r="N14" s="1562">
        <f t="shared" si="3"/>
        <v>1</v>
      </c>
      <c r="O14" s="19">
        <f>+'1.mell._Össz_Mérleg2019'!G117</f>
        <v>272137</v>
      </c>
      <c r="P14" s="12">
        <f>+'1.mell._Össz_Mérleg2019'!H117</f>
        <v>0</v>
      </c>
      <c r="Q14" s="15">
        <f>+'1.mell._Össz_Mérleg2019'!I117</f>
        <v>0</v>
      </c>
    </row>
    <row r="15" spans="1:17" ht="12.75" customHeight="1">
      <c r="A15" s="85" t="s">
        <v>16</v>
      </c>
      <c r="B15" s="127" t="s">
        <v>377</v>
      </c>
      <c r="C15" s="1137">
        <f>+'1.mell._Össz_Mérleg2019'!C44</f>
        <v>5800</v>
      </c>
      <c r="D15" s="1146">
        <f>+'1.mell._Össz_Mérleg2019'!D44</f>
        <v>54816</v>
      </c>
      <c r="E15" s="1146">
        <f>+'1.mell._Össz_Mérleg2019'!E44</f>
        <v>47805</v>
      </c>
      <c r="F15" s="1562">
        <f t="shared" si="1"/>
        <v>0.87209938704028023</v>
      </c>
      <c r="G15" s="20">
        <f>+'1.mell._Össz_Mérleg2019'!G44</f>
        <v>47805</v>
      </c>
      <c r="H15" s="11">
        <f>+'1.mell._Össz_Mérleg2019'!H44</f>
        <v>0</v>
      </c>
      <c r="I15" s="16">
        <f>+'1.mell._Össz_Mérleg2019'!I44</f>
        <v>0</v>
      </c>
      <c r="J15" s="128" t="s">
        <v>381</v>
      </c>
      <c r="K15" s="1137">
        <f>+'1.mell._Össz_Mérleg2019'!C123</f>
        <v>57543</v>
      </c>
      <c r="L15" s="1146">
        <f>+'1.mell._Össz_Mérleg2019'!D123</f>
        <v>43459</v>
      </c>
      <c r="M15" s="1146">
        <f>+'1.mell._Össz_Mérleg2019'!E123</f>
        <v>43161</v>
      </c>
      <c r="N15" s="1562">
        <f t="shared" si="3"/>
        <v>0.99314296233231325</v>
      </c>
      <c r="O15" s="20">
        <f>+'1.mell._Össz_Mérleg2019'!G123</f>
        <v>43161</v>
      </c>
      <c r="P15" s="11">
        <f>+'1.mell._Össz_Mérleg2019'!H123</f>
        <v>0</v>
      </c>
      <c r="Q15" s="16">
        <f>+'1.mell._Össz_Mérleg2019'!I123</f>
        <v>0</v>
      </c>
    </row>
    <row r="16" spans="1:17" s="13" customFormat="1">
      <c r="A16" s="85" t="s">
        <v>15</v>
      </c>
      <c r="B16" s="127"/>
      <c r="C16" s="1137"/>
      <c r="D16" s="1146"/>
      <c r="E16" s="1146"/>
      <c r="F16" s="1562"/>
      <c r="G16" s="20"/>
      <c r="H16" s="11"/>
      <c r="I16" s="16"/>
      <c r="J16" s="128" t="s">
        <v>382</v>
      </c>
      <c r="K16" s="1137">
        <f>+'1.mell._Össz_Mérleg2019'!C132</f>
        <v>2874202</v>
      </c>
      <c r="L16" s="1146">
        <f>+'1.mell._Össz_Mérleg2019'!D132</f>
        <v>3217954</v>
      </c>
      <c r="M16" s="1146">
        <f>+'1.mell._Össz_Mérleg2019'!E132</f>
        <v>89359</v>
      </c>
      <c r="N16" s="1562">
        <f t="shared" si="3"/>
        <v>2.7768886690114278E-2</v>
      </c>
      <c r="O16" s="20">
        <f>+'1.mell._Össz_Mérleg2019'!G132</f>
        <v>88169</v>
      </c>
      <c r="P16" s="11">
        <f>+'1.mell._Össz_Mérleg2019'!H132</f>
        <v>1190</v>
      </c>
      <c r="Q16" s="16">
        <f>+'1.mell._Össz_Mérleg2019'!I132</f>
        <v>0</v>
      </c>
    </row>
    <row r="17" spans="1:17" s="13" customFormat="1" ht="24.75" thickBot="1">
      <c r="A17" s="90" t="s">
        <v>360</v>
      </c>
      <c r="B17" s="124"/>
      <c r="C17" s="1155"/>
      <c r="D17" s="1156"/>
      <c r="E17" s="1156"/>
      <c r="F17" s="1566"/>
      <c r="G17" s="46"/>
      <c r="H17" s="41"/>
      <c r="I17" s="42"/>
      <c r="J17" s="137" t="s">
        <v>337</v>
      </c>
      <c r="K17" s="1155">
        <f>+'1.mell._Össz_Mérleg2019'!C139</f>
        <v>0</v>
      </c>
      <c r="L17" s="1156">
        <f>+'1.mell._Össz_Mérleg2019'!D139</f>
        <v>8300</v>
      </c>
      <c r="M17" s="1156">
        <f>+'1.mell._Össz_Mérleg2019'!E139</f>
        <v>8300</v>
      </c>
      <c r="N17" s="1566">
        <f t="shared" si="3"/>
        <v>1</v>
      </c>
      <c r="O17" s="46">
        <f>+'1.mell._Össz_Mérleg2019'!G139</f>
        <v>8300</v>
      </c>
      <c r="P17" s="41">
        <f>+'1.mell._Össz_Mérleg2019'!H139</f>
        <v>0</v>
      </c>
      <c r="Q17" s="42">
        <f>+'1.mell._Össz_Mérleg2019'!I139</f>
        <v>0</v>
      </c>
    </row>
    <row r="18" spans="1:17" s="3" customFormat="1" ht="12.75" thickBot="1">
      <c r="A18" s="83" t="s">
        <v>14</v>
      </c>
      <c r="B18" s="70" t="s">
        <v>378</v>
      </c>
      <c r="C18" s="1134">
        <f t="shared" ref="C18:I18" si="4">+C19</f>
        <v>2738772</v>
      </c>
      <c r="D18" s="1143">
        <f t="shared" si="4"/>
        <v>704310</v>
      </c>
      <c r="E18" s="1143">
        <f t="shared" si="4"/>
        <v>704310</v>
      </c>
      <c r="F18" s="1558">
        <f t="shared" si="1"/>
        <v>1</v>
      </c>
      <c r="G18" s="27">
        <f t="shared" si="4"/>
        <v>704295</v>
      </c>
      <c r="H18" s="28">
        <f t="shared" si="4"/>
        <v>15</v>
      </c>
      <c r="I18" s="29">
        <f t="shared" si="4"/>
        <v>0</v>
      </c>
      <c r="J18" s="70" t="s">
        <v>383</v>
      </c>
      <c r="K18" s="1134">
        <f t="shared" ref="K18:M18" si="5">+K19</f>
        <v>26671</v>
      </c>
      <c r="L18" s="1143">
        <f t="shared" si="5"/>
        <v>91948</v>
      </c>
      <c r="M18" s="1143">
        <f t="shared" si="5"/>
        <v>91948</v>
      </c>
      <c r="N18" s="1558">
        <f t="shared" si="3"/>
        <v>1</v>
      </c>
      <c r="O18" s="27">
        <f>+O19</f>
        <v>91948</v>
      </c>
      <c r="P18" s="28">
        <f>+P19</f>
        <v>0</v>
      </c>
      <c r="Q18" s="29">
        <f>+Q19</f>
        <v>0</v>
      </c>
    </row>
    <row r="19" spans="1:17">
      <c r="A19" s="125" t="s">
        <v>13</v>
      </c>
      <c r="B19" s="120" t="s">
        <v>951</v>
      </c>
      <c r="C19" s="1165">
        <f t="shared" ref="C19:I19" si="6">+C20+C30+C31+C32</f>
        <v>2738772</v>
      </c>
      <c r="D19" s="1167">
        <f t="shared" si="6"/>
        <v>704310</v>
      </c>
      <c r="E19" s="1167">
        <f t="shared" si="6"/>
        <v>704310</v>
      </c>
      <c r="F19" s="1574">
        <f t="shared" si="1"/>
        <v>1</v>
      </c>
      <c r="G19" s="49">
        <f t="shared" si="6"/>
        <v>704295</v>
      </c>
      <c r="H19" s="47">
        <f t="shared" si="6"/>
        <v>15</v>
      </c>
      <c r="I19" s="48">
        <f t="shared" si="6"/>
        <v>0</v>
      </c>
      <c r="J19" s="120" t="s">
        <v>950</v>
      </c>
      <c r="K19" s="1165">
        <f t="shared" ref="K19:M19" si="7">+K20+K30+K31+K32</f>
        <v>26671</v>
      </c>
      <c r="L19" s="1167">
        <f t="shared" si="7"/>
        <v>91948</v>
      </c>
      <c r="M19" s="1167">
        <f t="shared" si="7"/>
        <v>91948</v>
      </c>
      <c r="N19" s="1574">
        <f t="shared" si="3"/>
        <v>1</v>
      </c>
      <c r="O19" s="49">
        <f>+O20+O30+O31+O32</f>
        <v>91948</v>
      </c>
      <c r="P19" s="47">
        <f>+P20+P30+P31+P32</f>
        <v>0</v>
      </c>
      <c r="Q19" s="48">
        <f>+Q20+Q30+Q31+Q32</f>
        <v>0</v>
      </c>
    </row>
    <row r="20" spans="1:17" s="13" customFormat="1">
      <c r="A20" s="84" t="s">
        <v>66</v>
      </c>
      <c r="B20" s="65" t="s">
        <v>948</v>
      </c>
      <c r="C20" s="1135">
        <f t="shared" ref="C20:E20" si="8">+C21+C22+C23+C24+C25+C26+C27+C28+C29</f>
        <v>2738772</v>
      </c>
      <c r="D20" s="1144">
        <f t="shared" si="8"/>
        <v>704310</v>
      </c>
      <c r="E20" s="1144">
        <f t="shared" si="8"/>
        <v>704310</v>
      </c>
      <c r="F20" s="1560">
        <f t="shared" si="1"/>
        <v>1</v>
      </c>
      <c r="G20" s="34">
        <f>+G21+G22+G23+G24+G25+G26+G27+G28+G29</f>
        <v>704295</v>
      </c>
      <c r="H20" s="10">
        <f>+H21+H22+H23+H24+H25+H26+H27+H28+H29</f>
        <v>15</v>
      </c>
      <c r="I20" s="35">
        <f>+I21+I22+I23+I24+I25+I26+I27+I28+I29</f>
        <v>0</v>
      </c>
      <c r="J20" s="65" t="s">
        <v>949</v>
      </c>
      <c r="K20" s="1135">
        <f t="shared" ref="K20:M20" si="9">+K21+K22+K23+K24+K25+K26+K27+K28+K29</f>
        <v>26671</v>
      </c>
      <c r="L20" s="1144">
        <f t="shared" si="9"/>
        <v>91948</v>
      </c>
      <c r="M20" s="1144">
        <f t="shared" si="9"/>
        <v>91948</v>
      </c>
      <c r="N20" s="1560">
        <f t="shared" si="3"/>
        <v>1</v>
      </c>
      <c r="O20" s="34">
        <f>+O21+O22+O23+O24+O25+O26+O27+O28+O29</f>
        <v>91948</v>
      </c>
      <c r="P20" s="10">
        <f>+P21+P22+P23+P24+P25+P26+P27+P28+P29</f>
        <v>0</v>
      </c>
      <c r="Q20" s="35">
        <f>+Q21+Q22+Q23+Q24+Q25+Q26+Q27+Q28+Q29</f>
        <v>0</v>
      </c>
    </row>
    <row r="21" spans="1:17" s="13" customFormat="1">
      <c r="A21" s="86" t="s">
        <v>363</v>
      </c>
      <c r="B21" s="66" t="s">
        <v>246</v>
      </c>
      <c r="C21" s="1136">
        <f>+'1.mell._Össz_Mérleg2019'!C74</f>
        <v>0</v>
      </c>
      <c r="D21" s="1145">
        <f>+'1.mell._Össz_Mérleg2019'!D74</f>
        <v>65277</v>
      </c>
      <c r="E21" s="1145">
        <f>+'1.mell._Össz_Mérleg2019'!E74</f>
        <v>65277</v>
      </c>
      <c r="F21" s="1562">
        <f t="shared" si="1"/>
        <v>1</v>
      </c>
      <c r="G21" s="19">
        <f>+'1.mell._Össz_Mérleg2019'!G74</f>
        <v>65277</v>
      </c>
      <c r="H21" s="12">
        <f>+'1.mell._Össz_Mérleg2019'!H74</f>
        <v>0</v>
      </c>
      <c r="I21" s="15">
        <f>+'1.mell._Össz_Mérleg2019'!I74</f>
        <v>0</v>
      </c>
      <c r="J21" s="66" t="s">
        <v>170</v>
      </c>
      <c r="K21" s="1136">
        <f>+'1.mell._Össz_Mérleg2019'!C180</f>
        <v>0</v>
      </c>
      <c r="L21" s="1145">
        <f>+'1.mell._Össz_Mérleg2019'!D180</f>
        <v>65277</v>
      </c>
      <c r="M21" s="1145">
        <f>+'1.mell._Össz_Mérleg2019'!E180</f>
        <v>65277</v>
      </c>
      <c r="N21" s="1562">
        <f t="shared" si="3"/>
        <v>1</v>
      </c>
      <c r="O21" s="19">
        <f>+'1.mell._Össz_Mérleg2019'!G180</f>
        <v>65277</v>
      </c>
      <c r="P21" s="12">
        <f>+'1.mell._Össz_Mérleg2019'!H180</f>
        <v>0</v>
      </c>
      <c r="Q21" s="15">
        <f>+'1.mell._Össz_Mérleg2019'!I180</f>
        <v>0</v>
      </c>
    </row>
    <row r="22" spans="1:17" s="13" customFormat="1">
      <c r="A22" s="86" t="s">
        <v>364</v>
      </c>
      <c r="B22" s="66" t="s">
        <v>247</v>
      </c>
      <c r="C22" s="1136">
        <f>+'1.mell._Össz_Mérleg2019'!C75</f>
        <v>0</v>
      </c>
      <c r="D22" s="1145">
        <f>+'1.mell._Össz_Mérleg2019'!D75</f>
        <v>0</v>
      </c>
      <c r="E22" s="1145">
        <f>+'1.mell._Össz_Mérleg2019'!E75</f>
        <v>0</v>
      </c>
      <c r="F22" s="1562" t="str">
        <f t="shared" si="1"/>
        <v>-</v>
      </c>
      <c r="G22" s="19">
        <f>+'1.mell._Össz_Mérleg2019'!G75</f>
        <v>0</v>
      </c>
      <c r="H22" s="12">
        <f>+'1.mell._Össz_Mérleg2019'!H75</f>
        <v>0</v>
      </c>
      <c r="I22" s="15">
        <f>+'1.mell._Össz_Mérleg2019'!I75</f>
        <v>0</v>
      </c>
      <c r="J22" s="66" t="s">
        <v>171</v>
      </c>
      <c r="K22" s="1136">
        <f>+'1.mell._Össz_Mérleg2019'!C181</f>
        <v>0</v>
      </c>
      <c r="L22" s="1145">
        <f>+'1.mell._Össz_Mérleg2019'!D181</f>
        <v>0</v>
      </c>
      <c r="M22" s="1145">
        <f>+'1.mell._Össz_Mérleg2019'!E181</f>
        <v>0</v>
      </c>
      <c r="N22" s="1562" t="str">
        <f t="shared" si="3"/>
        <v>-</v>
      </c>
      <c r="O22" s="19">
        <f>+'1.mell._Össz_Mérleg2019'!G181</f>
        <v>0</v>
      </c>
      <c r="P22" s="12">
        <f>+'1.mell._Össz_Mérleg2019'!H181</f>
        <v>0</v>
      </c>
      <c r="Q22" s="15">
        <f>+'1.mell._Össz_Mérleg2019'!I181</f>
        <v>0</v>
      </c>
    </row>
    <row r="23" spans="1:17" s="13" customFormat="1">
      <c r="A23" s="86" t="s">
        <v>365</v>
      </c>
      <c r="B23" s="66" t="s">
        <v>248</v>
      </c>
      <c r="C23" s="1136">
        <f>+'1.mell._Össz_Mérleg2019'!C76</f>
        <v>2738772</v>
      </c>
      <c r="D23" s="1145">
        <f>+'1.mell._Össz_Mérleg2019'!D76</f>
        <v>608587</v>
      </c>
      <c r="E23" s="1145">
        <f>+'1.mell._Össz_Mérleg2019'!E76</f>
        <v>608587</v>
      </c>
      <c r="F23" s="1562">
        <f t="shared" si="1"/>
        <v>1</v>
      </c>
      <c r="G23" s="19">
        <f>+'1.mell._Össz_Mérleg2019'!G76</f>
        <v>608572</v>
      </c>
      <c r="H23" s="12">
        <f>+'1.mell._Össz_Mérleg2019'!H76</f>
        <v>15</v>
      </c>
      <c r="I23" s="15">
        <f>+'1.mell._Össz_Mérleg2019'!I76</f>
        <v>0</v>
      </c>
      <c r="J23" s="66" t="s">
        <v>172</v>
      </c>
      <c r="K23" s="1136">
        <f>+'1.mell._Össz_Mérleg2019'!C182</f>
        <v>0</v>
      </c>
      <c r="L23" s="1145">
        <f>+'1.mell._Össz_Mérleg2019'!D182</f>
        <v>0</v>
      </c>
      <c r="M23" s="1145">
        <f>+'1.mell._Össz_Mérleg2019'!E182</f>
        <v>0</v>
      </c>
      <c r="N23" s="1562" t="str">
        <f t="shared" si="3"/>
        <v>-</v>
      </c>
      <c r="O23" s="19">
        <f>+'1.mell._Össz_Mérleg2019'!G182</f>
        <v>0</v>
      </c>
      <c r="P23" s="12">
        <f>+'1.mell._Össz_Mérleg2019'!H182</f>
        <v>0</v>
      </c>
      <c r="Q23" s="15">
        <f>+'1.mell._Össz_Mérleg2019'!I182</f>
        <v>0</v>
      </c>
    </row>
    <row r="24" spans="1:17" s="13" customFormat="1">
      <c r="A24" s="86" t="s">
        <v>366</v>
      </c>
      <c r="B24" s="66" t="s">
        <v>249</v>
      </c>
      <c r="C24" s="1136">
        <f>+'1.mell._Össz_Mérleg2019'!C77</f>
        <v>0</v>
      </c>
      <c r="D24" s="1145">
        <f>+'1.mell._Össz_Mérleg2019'!D77</f>
        <v>30446</v>
      </c>
      <c r="E24" s="1145">
        <f>+'1.mell._Össz_Mérleg2019'!E77</f>
        <v>30446</v>
      </c>
      <c r="F24" s="1562">
        <f t="shared" si="1"/>
        <v>1</v>
      </c>
      <c r="G24" s="19">
        <f>+'1.mell._Össz_Mérleg2019'!G77</f>
        <v>30446</v>
      </c>
      <c r="H24" s="12">
        <f>+'1.mell._Össz_Mérleg2019'!H77</f>
        <v>0</v>
      </c>
      <c r="I24" s="15">
        <f>+'1.mell._Össz_Mérleg2019'!I77</f>
        <v>0</v>
      </c>
      <c r="J24" s="66" t="s">
        <v>173</v>
      </c>
      <c r="K24" s="1136">
        <f>+'1.mell._Össz_Mérleg2019'!C183</f>
        <v>26671</v>
      </c>
      <c r="L24" s="1145">
        <f>+'1.mell._Össz_Mérleg2019'!D183</f>
        <v>26671</v>
      </c>
      <c r="M24" s="1145">
        <f>+'1.mell._Össz_Mérleg2019'!E183</f>
        <v>26671</v>
      </c>
      <c r="N24" s="1562">
        <f t="shared" si="3"/>
        <v>1</v>
      </c>
      <c r="O24" s="19">
        <f>+'1.mell._Össz_Mérleg2019'!G183</f>
        <v>26671</v>
      </c>
      <c r="P24" s="12">
        <f>+'1.mell._Össz_Mérleg2019'!H183</f>
        <v>0</v>
      </c>
      <c r="Q24" s="15">
        <f>+'1.mell._Össz_Mérleg2019'!I183</f>
        <v>0</v>
      </c>
    </row>
    <row r="25" spans="1:17" s="13" customFormat="1">
      <c r="A25" s="86" t="s">
        <v>367</v>
      </c>
      <c r="B25" s="66" t="s">
        <v>250</v>
      </c>
      <c r="C25" s="1136">
        <f>+'1.mell._Össz_Mérleg2019'!C78</f>
        <v>0</v>
      </c>
      <c r="D25" s="1145">
        <f>+'1.mell._Össz_Mérleg2019'!D78</f>
        <v>0</v>
      </c>
      <c r="E25" s="1145">
        <f>+'1.mell._Össz_Mérleg2019'!E78</f>
        <v>0</v>
      </c>
      <c r="F25" s="1562" t="str">
        <f t="shared" si="1"/>
        <v>-</v>
      </c>
      <c r="G25" s="19">
        <f>+'1.mell._Össz_Mérleg2019'!G78</f>
        <v>0</v>
      </c>
      <c r="H25" s="12">
        <f>+'1.mell._Össz_Mérleg2019'!H78</f>
        <v>0</v>
      </c>
      <c r="I25" s="15">
        <f>+'1.mell._Össz_Mérleg2019'!I78</f>
        <v>0</v>
      </c>
      <c r="J25" s="66" t="s">
        <v>174</v>
      </c>
      <c r="K25" s="1136">
        <f>+'1.mell._Össz_Mérleg2019'!C184</f>
        <v>0</v>
      </c>
      <c r="L25" s="1145">
        <f>+'1.mell._Össz_Mérleg2019'!D184</f>
        <v>0</v>
      </c>
      <c r="M25" s="1145">
        <f>+'1.mell._Össz_Mérleg2019'!E184</f>
        <v>0</v>
      </c>
      <c r="N25" s="1562" t="str">
        <f t="shared" si="3"/>
        <v>-</v>
      </c>
      <c r="O25" s="19">
        <f>+'1.mell._Össz_Mérleg2019'!G184</f>
        <v>0</v>
      </c>
      <c r="P25" s="12">
        <f>+'1.mell._Össz_Mérleg2019'!H184</f>
        <v>0</v>
      </c>
      <c r="Q25" s="15">
        <f>+'1.mell._Össz_Mérleg2019'!I184</f>
        <v>0</v>
      </c>
    </row>
    <row r="26" spans="1:17" s="13" customFormat="1">
      <c r="A26" s="86" t="s">
        <v>368</v>
      </c>
      <c r="B26" s="66" t="s">
        <v>251</v>
      </c>
      <c r="C26" s="1136">
        <f>+'1.mell._Össz_Mérleg2019'!C79</f>
        <v>0</v>
      </c>
      <c r="D26" s="1145">
        <f>+'1.mell._Össz_Mérleg2019'!D79</f>
        <v>0</v>
      </c>
      <c r="E26" s="1145">
        <f>+'1.mell._Össz_Mérleg2019'!E79</f>
        <v>0</v>
      </c>
      <c r="F26" s="1562" t="str">
        <f t="shared" si="1"/>
        <v>-</v>
      </c>
      <c r="G26" s="19">
        <f>+'1.mell._Össz_Mérleg2019'!G79</f>
        <v>0</v>
      </c>
      <c r="H26" s="12">
        <f>+'1.mell._Össz_Mérleg2019'!H79</f>
        <v>0</v>
      </c>
      <c r="I26" s="15">
        <f>+'1.mell._Össz_Mérleg2019'!I79</f>
        <v>0</v>
      </c>
      <c r="J26" s="66" t="s">
        <v>179</v>
      </c>
      <c r="K26" s="1136">
        <f>+'1.mell._Össz_Mérleg2019'!C185</f>
        <v>0</v>
      </c>
      <c r="L26" s="1145">
        <f>+'1.mell._Össz_Mérleg2019'!D185</f>
        <v>0</v>
      </c>
      <c r="M26" s="1145">
        <f>+'1.mell._Össz_Mérleg2019'!E185</f>
        <v>0</v>
      </c>
      <c r="N26" s="1562" t="str">
        <f t="shared" si="3"/>
        <v>-</v>
      </c>
      <c r="O26" s="19">
        <f>+'1.mell._Össz_Mérleg2019'!G185</f>
        <v>0</v>
      </c>
      <c r="P26" s="12">
        <f>+'1.mell._Össz_Mérleg2019'!H185</f>
        <v>0</v>
      </c>
      <c r="Q26" s="15">
        <f>+'1.mell._Össz_Mérleg2019'!I185</f>
        <v>0</v>
      </c>
    </row>
    <row r="27" spans="1:17" s="13" customFormat="1">
      <c r="A27" s="86" t="s">
        <v>369</v>
      </c>
      <c r="B27" s="66" t="s">
        <v>252</v>
      </c>
      <c r="C27" s="1136">
        <f>+'1.mell._Össz_Mérleg2019'!C80</f>
        <v>0</v>
      </c>
      <c r="D27" s="1145">
        <f>+'1.mell._Össz_Mérleg2019'!D80</f>
        <v>0</v>
      </c>
      <c r="E27" s="1145">
        <f>+'1.mell._Össz_Mérleg2019'!E80</f>
        <v>0</v>
      </c>
      <c r="F27" s="1562" t="str">
        <f t="shared" si="1"/>
        <v>-</v>
      </c>
      <c r="G27" s="19">
        <f>+'1.mell._Össz_Mérleg2019'!G80</f>
        <v>0</v>
      </c>
      <c r="H27" s="12">
        <f>+'1.mell._Össz_Mérleg2019'!H80</f>
        <v>0</v>
      </c>
      <c r="I27" s="15">
        <f>+'1.mell._Össz_Mérleg2019'!I80</f>
        <v>0</v>
      </c>
      <c r="J27" s="66" t="s">
        <v>175</v>
      </c>
      <c r="K27" s="1136">
        <f>+'1.mell._Össz_Mérleg2019'!C186</f>
        <v>0</v>
      </c>
      <c r="L27" s="1145">
        <f>+'1.mell._Össz_Mérleg2019'!D186</f>
        <v>0</v>
      </c>
      <c r="M27" s="1145">
        <f>+'1.mell._Össz_Mérleg2019'!E186</f>
        <v>0</v>
      </c>
      <c r="N27" s="1562" t="str">
        <f t="shared" si="3"/>
        <v>-</v>
      </c>
      <c r="O27" s="19">
        <f>+'1.mell._Össz_Mérleg2019'!G186</f>
        <v>0</v>
      </c>
      <c r="P27" s="12">
        <f>+'1.mell._Össz_Mérleg2019'!H186</f>
        <v>0</v>
      </c>
      <c r="Q27" s="15">
        <f>+'1.mell._Össz_Mérleg2019'!I186</f>
        <v>0</v>
      </c>
    </row>
    <row r="28" spans="1:17">
      <c r="A28" s="86" t="s">
        <v>370</v>
      </c>
      <c r="B28" s="66" t="s">
        <v>245</v>
      </c>
      <c r="C28" s="1136">
        <f>+'1.mell._Össz_Mérleg2019'!C81</f>
        <v>0</v>
      </c>
      <c r="D28" s="1145">
        <f>+'1.mell._Össz_Mérleg2019'!D81</f>
        <v>0</v>
      </c>
      <c r="E28" s="1145">
        <f>+'1.mell._Össz_Mérleg2019'!E81</f>
        <v>0</v>
      </c>
      <c r="F28" s="1562" t="str">
        <f t="shared" si="1"/>
        <v>-</v>
      </c>
      <c r="G28" s="19">
        <f>+'1.mell._Össz_Mérleg2019'!G81</f>
        <v>0</v>
      </c>
      <c r="H28" s="12">
        <f>+'1.mell._Össz_Mérleg2019'!H81</f>
        <v>0</v>
      </c>
      <c r="I28" s="15">
        <f>+'1.mell._Össz_Mérleg2019'!I81</f>
        <v>0</v>
      </c>
      <c r="J28" s="66" t="s">
        <v>176</v>
      </c>
      <c r="K28" s="1136">
        <f>+'1.mell._Össz_Mérleg2019'!C187</f>
        <v>0</v>
      </c>
      <c r="L28" s="1145">
        <f>+'1.mell._Össz_Mérleg2019'!D187</f>
        <v>0</v>
      </c>
      <c r="M28" s="1145">
        <f>+'1.mell._Össz_Mérleg2019'!E187</f>
        <v>0</v>
      </c>
      <c r="N28" s="1562" t="str">
        <f t="shared" si="3"/>
        <v>-</v>
      </c>
      <c r="O28" s="19">
        <f>+'1.mell._Össz_Mérleg2019'!G187</f>
        <v>0</v>
      </c>
      <c r="P28" s="12">
        <f>+'1.mell._Össz_Mérleg2019'!H187</f>
        <v>0</v>
      </c>
      <c r="Q28" s="15">
        <f>+'1.mell._Össz_Mérleg2019'!I187</f>
        <v>0</v>
      </c>
    </row>
    <row r="29" spans="1:17">
      <c r="A29" s="86" t="s">
        <v>947</v>
      </c>
      <c r="B29" s="66" t="s">
        <v>917</v>
      </c>
      <c r="C29" s="1136">
        <f>+'1.mell._Össz_Mérleg2019'!C82</f>
        <v>0</v>
      </c>
      <c r="D29" s="1145">
        <f>+'1.mell._Össz_Mérleg2019'!D82</f>
        <v>0</v>
      </c>
      <c r="E29" s="1145">
        <f>+'1.mell._Össz_Mérleg2019'!E82</f>
        <v>0</v>
      </c>
      <c r="F29" s="1562" t="str">
        <f t="shared" si="1"/>
        <v>-</v>
      </c>
      <c r="G29" s="19">
        <f>+'1.mell._Össz_Mérleg2019'!G82</f>
        <v>0</v>
      </c>
      <c r="H29" s="12">
        <f>+'1.mell._Össz_Mérleg2019'!H82</f>
        <v>0</v>
      </c>
      <c r="I29" s="15">
        <f>+'1.mell._Össz_Mérleg2019'!I82</f>
        <v>0</v>
      </c>
      <c r="J29" s="66" t="s">
        <v>941</v>
      </c>
      <c r="K29" s="1136">
        <f>+'1.mell._Össz_Mérleg2019'!C188</f>
        <v>0</v>
      </c>
      <c r="L29" s="1145">
        <f>+'1.mell._Össz_Mérleg2019'!D188</f>
        <v>0</v>
      </c>
      <c r="M29" s="1145">
        <f>+'1.mell._Össz_Mérleg2019'!E188</f>
        <v>0</v>
      </c>
      <c r="N29" s="1562" t="str">
        <f t="shared" si="3"/>
        <v>-</v>
      </c>
      <c r="O29" s="19">
        <f>+'1.mell._Össz_Mérleg2019'!G188</f>
        <v>0</v>
      </c>
      <c r="P29" s="12">
        <f>+'1.mell._Össz_Mérleg2019'!H188</f>
        <v>0</v>
      </c>
      <c r="Q29" s="15">
        <f>+'1.mell._Össz_Mérleg2019'!I188</f>
        <v>0</v>
      </c>
    </row>
    <row r="30" spans="1:17">
      <c r="A30" s="85" t="s">
        <v>67</v>
      </c>
      <c r="B30" s="67" t="s">
        <v>243</v>
      </c>
      <c r="C30" s="1137">
        <f>+'1.mell._Össz_Mérleg2019'!C83</f>
        <v>0</v>
      </c>
      <c r="D30" s="1146">
        <f>+'1.mell._Össz_Mérleg2019'!D83</f>
        <v>0</v>
      </c>
      <c r="E30" s="1146">
        <f>+'1.mell._Össz_Mérleg2019'!E83</f>
        <v>0</v>
      </c>
      <c r="F30" s="1562" t="str">
        <f t="shared" si="1"/>
        <v>-</v>
      </c>
      <c r="G30" s="20">
        <f>+'1.mell._Össz_Mérleg2019'!G83</f>
        <v>0</v>
      </c>
      <c r="H30" s="11">
        <f>+'1.mell._Össz_Mérleg2019'!H83</f>
        <v>0</v>
      </c>
      <c r="I30" s="16">
        <f>+'1.mell._Össz_Mérleg2019'!I83</f>
        <v>0</v>
      </c>
      <c r="J30" s="67" t="s">
        <v>177</v>
      </c>
      <c r="K30" s="1137">
        <f>+'1.mell._Össz_Mérleg2019'!C189</f>
        <v>0</v>
      </c>
      <c r="L30" s="1146">
        <f>+'1.mell._Össz_Mérleg2019'!D189</f>
        <v>0</v>
      </c>
      <c r="M30" s="1146">
        <f>+'1.mell._Össz_Mérleg2019'!E189</f>
        <v>0</v>
      </c>
      <c r="N30" s="1562" t="str">
        <f t="shared" si="3"/>
        <v>-</v>
      </c>
      <c r="O30" s="20">
        <f>+'1.mell._Össz_Mérleg2019'!G189</f>
        <v>0</v>
      </c>
      <c r="P30" s="11">
        <f>+'1.mell._Össz_Mérleg2019'!H189</f>
        <v>0</v>
      </c>
      <c r="Q30" s="16">
        <f>+'1.mell._Össz_Mérleg2019'!I189</f>
        <v>0</v>
      </c>
    </row>
    <row r="31" spans="1:17" s="3" customFormat="1">
      <c r="A31" s="78" t="s">
        <v>68</v>
      </c>
      <c r="B31" s="68" t="s">
        <v>244</v>
      </c>
      <c r="C31" s="1138">
        <f>+'1.mell._Össz_Mérleg2019'!C84</f>
        <v>0</v>
      </c>
      <c r="D31" s="1147">
        <f>+'1.mell._Össz_Mérleg2019'!D84</f>
        <v>0</v>
      </c>
      <c r="E31" s="1147">
        <f>+'1.mell._Össz_Mérleg2019'!E84</f>
        <v>0</v>
      </c>
      <c r="F31" s="1561" t="str">
        <f t="shared" si="1"/>
        <v>-</v>
      </c>
      <c r="G31" s="21">
        <f>+'1.mell._Össz_Mérleg2019'!G84</f>
        <v>0</v>
      </c>
      <c r="H31" s="22">
        <f>+'1.mell._Össz_Mérleg2019'!H84</f>
        <v>0</v>
      </c>
      <c r="I31" s="23">
        <f>+'1.mell._Össz_Mérleg2019'!I84</f>
        <v>0</v>
      </c>
      <c r="J31" s="68" t="s">
        <v>178</v>
      </c>
      <c r="K31" s="1138">
        <f>+'1.mell._Össz_Mérleg2019'!C190</f>
        <v>0</v>
      </c>
      <c r="L31" s="1147">
        <f>+'1.mell._Össz_Mérleg2019'!D190</f>
        <v>0</v>
      </c>
      <c r="M31" s="1147">
        <f>+'1.mell._Össz_Mérleg2019'!E190</f>
        <v>0</v>
      </c>
      <c r="N31" s="1561" t="str">
        <f t="shared" si="3"/>
        <v>-</v>
      </c>
      <c r="O31" s="21">
        <f>+'1.mell._Össz_Mérleg2019'!G190</f>
        <v>0</v>
      </c>
      <c r="P31" s="22">
        <f>+'1.mell._Össz_Mérleg2019'!H190</f>
        <v>0</v>
      </c>
      <c r="Q31" s="23">
        <f>+'1.mell._Össz_Mérleg2019'!I190</f>
        <v>0</v>
      </c>
    </row>
    <row r="32" spans="1:17" s="3" customFormat="1" ht="12.75" thickBot="1">
      <c r="A32" s="78" t="s">
        <v>230</v>
      </c>
      <c r="B32" s="68" t="s">
        <v>919</v>
      </c>
      <c r="C32" s="1138">
        <f>+'1.mell._Össz_Mérleg2019'!C85</f>
        <v>0</v>
      </c>
      <c r="D32" s="1147">
        <f>+'1.mell._Össz_Mérleg2019'!D85</f>
        <v>0</v>
      </c>
      <c r="E32" s="1147">
        <f>+'1.mell._Össz_Mérleg2019'!E85</f>
        <v>0</v>
      </c>
      <c r="F32" s="1561" t="str">
        <f t="shared" si="1"/>
        <v>-</v>
      </c>
      <c r="G32" s="21">
        <f>+'1.mell._Össz_Mérleg2019'!G85</f>
        <v>0</v>
      </c>
      <c r="H32" s="22">
        <f>+'1.mell._Össz_Mérleg2019'!H85</f>
        <v>0</v>
      </c>
      <c r="I32" s="23">
        <f>+'1.mell._Össz_Mérleg2019'!I85</f>
        <v>0</v>
      </c>
      <c r="J32" s="68" t="s">
        <v>942</v>
      </c>
      <c r="K32" s="1138">
        <f>+'1.mell._Össz_Mérleg2019'!C191</f>
        <v>0</v>
      </c>
      <c r="L32" s="1147">
        <f>+'1.mell._Össz_Mérleg2019'!D191</f>
        <v>0</v>
      </c>
      <c r="M32" s="1147">
        <f>+'1.mell._Össz_Mérleg2019'!E191</f>
        <v>0</v>
      </c>
      <c r="N32" s="1561" t="str">
        <f t="shared" si="3"/>
        <v>-</v>
      </c>
      <c r="O32" s="21">
        <f>+'1.mell._Össz_Mérleg2019'!G191</f>
        <v>0</v>
      </c>
      <c r="P32" s="22">
        <f>+'1.mell._Össz_Mérleg2019'!H191</f>
        <v>0</v>
      </c>
      <c r="Q32" s="23">
        <f>+'1.mell._Össz_Mérleg2019'!I191</f>
        <v>0</v>
      </c>
    </row>
    <row r="33" spans="1:17" s="3" customFormat="1" ht="12.75" thickBot="1">
      <c r="A33" s="81" t="s">
        <v>12</v>
      </c>
      <c r="B33" s="135" t="s">
        <v>384</v>
      </c>
      <c r="C33" s="1133">
        <f t="shared" ref="C33:I33" si="10">+C8+C18</f>
        <v>4223971</v>
      </c>
      <c r="D33" s="1142">
        <f t="shared" si="10"/>
        <v>2928810</v>
      </c>
      <c r="E33" s="1142">
        <f t="shared" si="10"/>
        <v>2742299</v>
      </c>
      <c r="F33" s="1568">
        <f t="shared" si="1"/>
        <v>0.93631850478521994</v>
      </c>
      <c r="G33" s="134">
        <f t="shared" si="10"/>
        <v>2709440</v>
      </c>
      <c r="H33" s="133">
        <f t="shared" si="10"/>
        <v>26337</v>
      </c>
      <c r="I33" s="132">
        <f t="shared" si="10"/>
        <v>6522</v>
      </c>
      <c r="J33" s="121" t="s">
        <v>387</v>
      </c>
      <c r="K33" s="1134">
        <f t="shared" ref="K33:M33" si="11">+K8+K18</f>
        <v>4137245</v>
      </c>
      <c r="L33" s="1143">
        <f t="shared" si="11"/>
        <v>5297043</v>
      </c>
      <c r="M33" s="1143">
        <f t="shared" si="11"/>
        <v>2055603</v>
      </c>
      <c r="N33" s="1558">
        <f t="shared" si="3"/>
        <v>0.3880661342564144</v>
      </c>
      <c r="O33" s="27">
        <f>+O8+O18</f>
        <v>2001813</v>
      </c>
      <c r="P33" s="28">
        <f>+P8+P18</f>
        <v>46578</v>
      </c>
      <c r="Q33" s="29">
        <f>+Q8+Q18</f>
        <v>7212</v>
      </c>
    </row>
    <row r="34" spans="1:17" s="3" customFormat="1" ht="12.75" thickBot="1">
      <c r="A34" s="83" t="s">
        <v>11</v>
      </c>
      <c r="B34" s="69" t="s">
        <v>385</v>
      </c>
      <c r="C34" s="1166">
        <f t="shared" ref="C34:E34" si="12">IF(((K8-C8)&gt;0),K8-C8,"----")</f>
        <v>2625375</v>
      </c>
      <c r="D34" s="1168">
        <f t="shared" si="12"/>
        <v>2980595</v>
      </c>
      <c r="E34" s="1168" t="str">
        <f t="shared" si="12"/>
        <v>----</v>
      </c>
      <c r="F34" s="1558" t="str">
        <f t="shared" si="1"/>
        <v>-</v>
      </c>
      <c r="G34" s="141" t="str">
        <f>IF(((O8-G8)&gt;0),O8-G8,"----")</f>
        <v>----</v>
      </c>
      <c r="H34" s="140">
        <f>IF(((P8-H8)&gt;0),P8-H8,"----")</f>
        <v>20256</v>
      </c>
      <c r="I34" s="139">
        <f>IF(((Q8-I8)&gt;0),Q8-I8,"----")</f>
        <v>690</v>
      </c>
      <c r="J34" s="69" t="s">
        <v>386</v>
      </c>
      <c r="K34" s="1166" t="str">
        <f t="shared" ref="K34:M34" si="13">IF(((C8-K8)&gt;0),C8-K8,"----")</f>
        <v>----</v>
      </c>
      <c r="L34" s="1168" t="str">
        <f t="shared" si="13"/>
        <v>----</v>
      </c>
      <c r="M34" s="1168">
        <f t="shared" si="13"/>
        <v>74334</v>
      </c>
      <c r="N34" s="1558" t="str">
        <f t="shared" si="3"/>
        <v>-</v>
      </c>
      <c r="O34" s="141">
        <f>IF(((G8-O8)&gt;0),G8-O8,"----")</f>
        <v>95280</v>
      </c>
      <c r="P34" s="140" t="str">
        <f>IF(((H8-P8)&gt;0),H8-P8,"----")</f>
        <v>----</v>
      </c>
      <c r="Q34" s="139" t="str">
        <f>IF(((I8-Q8)&gt;0),I8-Q8,"----")</f>
        <v>----</v>
      </c>
    </row>
    <row r="35" spans="1:17" s="3" customFormat="1" ht="12.75" thickBot="1">
      <c r="A35" s="83" t="s">
        <v>10</v>
      </c>
      <c r="B35" s="69" t="s">
        <v>389</v>
      </c>
      <c r="C35" s="1166" t="str">
        <f t="shared" ref="C35:E35" si="14">IF(((K18-C18)&gt;0),K18-C18,"----")</f>
        <v>----</v>
      </c>
      <c r="D35" s="140" t="str">
        <f t="shared" si="14"/>
        <v>----</v>
      </c>
      <c r="E35" s="1168" t="str">
        <f t="shared" si="14"/>
        <v>----</v>
      </c>
      <c r="F35" s="1558" t="str">
        <f t="shared" si="1"/>
        <v>-</v>
      </c>
      <c r="G35" s="141" t="str">
        <f>IF(((O18-G18)&gt;0),O18-G18,"----")</f>
        <v>----</v>
      </c>
      <c r="H35" s="140" t="str">
        <f>IF(((P18-H18)&gt;0),P18-H18,"----")</f>
        <v>----</v>
      </c>
      <c r="I35" s="139" t="str">
        <f>IF(((Q18-I18)&gt;0),Q18-I18,"----")</f>
        <v>----</v>
      </c>
      <c r="J35" s="69" t="s">
        <v>390</v>
      </c>
      <c r="K35" s="1166">
        <f t="shared" ref="K35:M35" si="15">IF(((C18-K18)&gt;0),C18-K18,"----")</f>
        <v>2712101</v>
      </c>
      <c r="L35" s="1168">
        <f t="shared" si="15"/>
        <v>612362</v>
      </c>
      <c r="M35" s="1168">
        <f t="shared" si="15"/>
        <v>612362</v>
      </c>
      <c r="N35" s="1558">
        <f t="shared" si="3"/>
        <v>1</v>
      </c>
      <c r="O35" s="141">
        <f>IF(((G18-O18)&gt;0),G18-O18,"----")</f>
        <v>612347</v>
      </c>
      <c r="P35" s="140">
        <f>IF(((H18-P18)&gt;0),H18-P18,"----")</f>
        <v>15</v>
      </c>
      <c r="Q35" s="139" t="str">
        <f>IF(((I18-Q18)&gt;0),I18-Q18,"----")</f>
        <v>----</v>
      </c>
    </row>
  </sheetData>
  <mergeCells count="4">
    <mergeCell ref="A3:Q3"/>
    <mergeCell ref="A4:Q4"/>
    <mergeCell ref="C7:I7"/>
    <mergeCell ref="K7:Q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998AC451E9BF264297B09E2635CD691E" ma:contentTypeVersion="2" ma:contentTypeDescription="Új dokumentum létrehozása." ma:contentTypeScope="" ma:versionID="d9388c0086a2b1b827cac15ac1bba7cc">
  <xsd:schema xmlns:xsd="http://www.w3.org/2001/XMLSchema" xmlns:xs="http://www.w3.org/2001/XMLSchema" xmlns:p="http://schemas.microsoft.com/office/2006/metadata/properties" xmlns:ns2="b2cf6a1f-bd29-453e-856b-dfa1d68d407d" targetNamespace="http://schemas.microsoft.com/office/2006/metadata/properties" ma:root="true" ma:fieldsID="edee27b2a5610c15db9cb7eeeb14f6e1" ns2:_="">
    <xsd:import namespace="b2cf6a1f-bd29-453e-856b-dfa1d68d407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cf6a1f-bd29-453e-856b-dfa1d68d40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36CD08-FF1B-4BED-BF29-3DFF4E3987CE}"/>
</file>

<file path=customXml/itemProps2.xml><?xml version="1.0" encoding="utf-8"?>
<ds:datastoreItem xmlns:ds="http://schemas.openxmlformats.org/officeDocument/2006/customXml" ds:itemID="{88C58A3A-DA98-44F7-A536-367561E92F14}"/>
</file>

<file path=customXml/itemProps3.xml><?xml version="1.0" encoding="utf-8"?>
<ds:datastoreItem xmlns:ds="http://schemas.openxmlformats.org/officeDocument/2006/customXml" ds:itemID="{87327C56-7FD1-4E4C-B3D6-D65A283E7F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38</vt:i4>
      </vt:variant>
      <vt:variant>
        <vt:lpstr>Névvel ellátott tartományok</vt:lpstr>
      </vt:variant>
      <vt:variant>
        <vt:i4>34</vt:i4>
      </vt:variant>
    </vt:vector>
  </HeadingPairs>
  <TitlesOfParts>
    <vt:vector size="72" baseType="lpstr">
      <vt:lpstr>Tartalomjegyzék</vt:lpstr>
      <vt:lpstr>1.mell._Össz_Mérleg2019</vt:lpstr>
      <vt:lpstr>1.1.mell._ÖNK_Mérleg2019</vt:lpstr>
      <vt:lpstr>1.2.mell._HKÖH_Mérleg2019</vt:lpstr>
      <vt:lpstr>1.3.mell._HVÓBKI_Mérleg2019</vt:lpstr>
      <vt:lpstr>1.4.mell._HKK_Mérleg2019</vt:lpstr>
      <vt:lpstr>1.5._mell._MŐSZ_Mérleg2019</vt:lpstr>
      <vt:lpstr>1.6._mell._HVGYKCSSZ_Mérleg2019</vt:lpstr>
      <vt:lpstr>2.a.mell._MMérleg2019</vt:lpstr>
      <vt:lpstr>2.b.mell._FMérleg2019</vt:lpstr>
      <vt:lpstr>3. mell._létszám2019</vt:lpstr>
      <vt:lpstr>4. mell. EUprojektek2019</vt:lpstr>
      <vt:lpstr>5.mell_adósság2019</vt:lpstr>
      <vt:lpstr>6.mell_Többévesköt.2019</vt:lpstr>
      <vt:lpstr>7. mell_KözvetettTám2019</vt:lpstr>
      <vt:lpstr>8.mell_EIfelhterv2019</vt:lpstr>
      <vt:lpstr>9.mell_ÖsszMérleg(telj)2019</vt:lpstr>
      <vt:lpstr>10.mell_támogatások2019</vt:lpstr>
      <vt:lpstr>11.mell_felhKiad2019</vt:lpstr>
      <vt:lpstr>12.mell_céltámogatások2019</vt:lpstr>
      <vt:lpstr>13.mell_ÖNKfeladatok2019</vt:lpstr>
      <vt:lpstr>14.mell_Önk kiegészítés2019</vt:lpstr>
      <vt:lpstr>15.mell 2019K01</vt:lpstr>
      <vt:lpstr>16.mell 2019K02</vt:lpstr>
      <vt:lpstr>17.mell 2019K03</vt:lpstr>
      <vt:lpstr>18.mell 2019K04</vt:lpstr>
      <vt:lpstr>19.mell 2019K12</vt:lpstr>
      <vt:lpstr>20.mell 2019K13</vt:lpstr>
      <vt:lpstr>21.mell Vagyonkim2019</vt:lpstr>
      <vt:lpstr>22.mell Részesedések2019</vt:lpstr>
      <vt:lpstr>23.mell_Adósságáll2019</vt:lpstr>
      <vt:lpstr>24.Hitelek2019</vt:lpstr>
      <vt:lpstr>25.mell_maradvány2019</vt:lpstr>
      <vt:lpstr>26.mell_maradványfeloszt2019</vt:lpstr>
      <vt:lpstr>15.mell_Tartozások2019</vt:lpstr>
      <vt:lpstr>16.mell_Étkezésdíj2019</vt:lpstr>
      <vt:lpstr>1.függVárosüzem2019</vt:lpstr>
      <vt:lpstr>2.függ_adósság2019 (határozat)</vt:lpstr>
      <vt:lpstr>'10.mell_támogatások2019'!Nyomtatási_cím</vt:lpstr>
      <vt:lpstr>'13.mell_ÖNKfeladatok2019'!Nyomtatási_cím</vt:lpstr>
      <vt:lpstr>'14.mell_Önk kiegészítés2019'!Nyomtatási_cím</vt:lpstr>
      <vt:lpstr>'15.mell 2019K01'!Nyomtatási_cím</vt:lpstr>
      <vt:lpstr>'16.mell 2019K02'!Nyomtatási_cím</vt:lpstr>
      <vt:lpstr>'1.1.mell._ÖNK_Mérleg2019'!Nyomtatási_terület</vt:lpstr>
      <vt:lpstr>'1.2.mell._HKÖH_Mérleg2019'!Nyomtatási_terület</vt:lpstr>
      <vt:lpstr>'1.3.mell._HVÓBKI_Mérleg2019'!Nyomtatási_terület</vt:lpstr>
      <vt:lpstr>'1.4.mell._HKK_Mérleg2019'!Nyomtatási_terület</vt:lpstr>
      <vt:lpstr>'1.5._mell._MŐSZ_Mérleg2019'!Nyomtatási_terület</vt:lpstr>
      <vt:lpstr>'1.6._mell._HVGYKCSSZ_Mérleg2019'!Nyomtatási_terület</vt:lpstr>
      <vt:lpstr>'1.függVárosüzem2019'!Nyomtatási_terület</vt:lpstr>
      <vt:lpstr>'1.mell._Össz_Mérleg2019'!Nyomtatási_terület</vt:lpstr>
      <vt:lpstr>'10.mell_támogatások2019'!Nyomtatási_terület</vt:lpstr>
      <vt:lpstr>'11.mell_felhKiad2019'!Nyomtatási_terület</vt:lpstr>
      <vt:lpstr>'12.mell_céltámogatások2019'!Nyomtatási_terület</vt:lpstr>
      <vt:lpstr>'13.mell_ÖNKfeladatok2019'!Nyomtatási_terület</vt:lpstr>
      <vt:lpstr>'14.mell_Önk kiegészítés2019'!Nyomtatási_terület</vt:lpstr>
      <vt:lpstr>'15.mell 2019K01'!Nyomtatási_terület</vt:lpstr>
      <vt:lpstr>'16.mell 2019K02'!Nyomtatási_terület</vt:lpstr>
      <vt:lpstr>'16.mell_Étkezésdíj2019'!Nyomtatási_terület</vt:lpstr>
      <vt:lpstr>'17.mell 2019K03'!Nyomtatási_terület</vt:lpstr>
      <vt:lpstr>'18.mell 2019K04'!Nyomtatási_terület</vt:lpstr>
      <vt:lpstr>'2.a.mell._MMérleg2019'!Nyomtatási_terület</vt:lpstr>
      <vt:lpstr>'2.b.mell._FMérleg2019'!Nyomtatási_terület</vt:lpstr>
      <vt:lpstr>'2.függ_adósság2019 (határozat)'!Nyomtatási_terület</vt:lpstr>
      <vt:lpstr>'21.mell Vagyonkim2019'!Nyomtatási_terület</vt:lpstr>
      <vt:lpstr>'23.mell_Adósságáll2019'!Nyomtatási_terület</vt:lpstr>
      <vt:lpstr>'25.mell_maradvány2019'!Nyomtatási_terület</vt:lpstr>
      <vt:lpstr>'3. mell._létszám2019'!Nyomtatási_terület</vt:lpstr>
      <vt:lpstr>'4. mell. EUprojektek2019'!Nyomtatási_terület</vt:lpstr>
      <vt:lpstr>'7. mell_KözvetettTám2019'!Nyomtatási_terület</vt:lpstr>
      <vt:lpstr>'8.mell_EIfelhterv2019'!Nyomtatási_terület</vt:lpstr>
      <vt:lpstr>'9.mell_ÖsszMérleg(telj)2019'!Nyomtatási_terület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Ecsegi</dc:creator>
  <cp:lastModifiedBy>ecsegi</cp:lastModifiedBy>
  <cp:lastPrinted>2020-07-03T16:53:57Z</cp:lastPrinted>
  <dcterms:created xsi:type="dcterms:W3CDTF">1998-12-06T10:54:59Z</dcterms:created>
  <dcterms:modified xsi:type="dcterms:W3CDTF">2020-07-03T17:27:17Z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0x010100998AC451E9BF264297B09E2635CD691E</vt:lpwstr>
  </property>
</Properties>
</file>